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tables/table12.xml" ContentType="application/vnd.openxmlformats-officedocument.spreadsheetml.table+xml"/>
  <Override PartName="/xl/tables/table13.xml" ContentType="application/vnd.openxmlformats-officedocument.spreadsheetml.table+xml"/>
  <Override PartName="/xl/tables/table14.xml" ContentType="application/vnd.openxmlformats-officedocument.spreadsheetml.tab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tables/table15.xml" ContentType="application/vnd.openxmlformats-officedocument.spreadsheetml.table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tables/table16.xml" ContentType="application/vnd.openxmlformats-officedocument.spreadsheetml.table+xml"/>
  <Override PartName="/xl/drawings/drawing11.xml" ContentType="application/vnd.openxmlformats-officedocument.drawing+xml"/>
  <Override PartName="/xl/tables/table17.xml" ContentType="application/vnd.openxmlformats-officedocument.spreadsheetml.table+xml"/>
  <Override PartName="/xl/tables/table18.xml" ContentType="application/vnd.openxmlformats-officedocument.spreadsheetml.table+xml"/>
  <Override PartName="/xl/tables/table19.xml" ContentType="application/vnd.openxmlformats-officedocument.spreadsheetml.table+xml"/>
  <Override PartName="/xl/tables/table20.xml" ContentType="application/vnd.openxmlformats-officedocument.spreadsheetml.table+xml"/>
  <Override PartName="/xl/tables/table21.xml" ContentType="application/vnd.openxmlformats-officedocument.spreadsheetml.table+xml"/>
  <Override PartName="/xl/tables/table22.xml" ContentType="application/vnd.openxmlformats-officedocument.spreadsheetml.table+xml"/>
  <Override PartName="/xl/tables/table23.xml" ContentType="application/vnd.openxmlformats-officedocument.spreadsheetml.table+xml"/>
  <Override PartName="/xl/tables/table24.xml" ContentType="application/vnd.openxmlformats-officedocument.spreadsheetml.table+xml"/>
  <Override PartName="/xl/tables/table25.xml" ContentType="application/vnd.openxmlformats-officedocument.spreadsheetml.table+xml"/>
  <Override PartName="/xl/tables/table26.xml" ContentType="application/vnd.openxmlformats-officedocument.spreadsheetml.table+xml"/>
  <Override PartName="/xl/tables/table27.xml" ContentType="application/vnd.openxmlformats-officedocument.spreadsheetml.table+xml"/>
  <Override PartName="/xl/tables/table28.xml" ContentType="application/vnd.openxmlformats-officedocument.spreadsheetml.table+xml"/>
  <Override PartName="/xl/tables/table29.xml" ContentType="application/vnd.openxmlformats-officedocument.spreadsheetml.table+xml"/>
  <Override PartName="/xl/tables/table30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9029"/>
  <workbookPr showInkAnnotation="0" codeName="ThisWorkbook" hidePivotFieldList="1"/>
  <mc:AlternateContent xmlns:mc="http://schemas.openxmlformats.org/markup-compatibility/2006">
    <mc:Choice Requires="x15">
      <x15ac:absPath xmlns:x15ac="http://schemas.microsoft.com/office/spreadsheetml/2010/11/ac" url="\\127.0.0.1\ejupublic\2_Gold\2_Tournaments &amp; Camps\2018\EJCups\Juniors\AUT Leibnitz\"/>
    </mc:Choice>
  </mc:AlternateContent>
  <xr:revisionPtr revIDLastSave="0" documentId="8_{10534AB9-980F-4092-8BBF-66E31A1C2066}" xr6:coauthVersionLast="28" xr6:coauthVersionMax="28" xr10:uidLastSave="{00000000-0000-0000-0000-000000000000}"/>
  <workbookProtection workbookPassword="ABC1" lockStructure="1"/>
  <bookViews>
    <workbookView xWindow="0" yWindow="0" windowWidth="28800" windowHeight="11010" tabRatio="674" xr2:uid="{00000000-000D-0000-FFFF-FFFF00000000}"/>
  </bookViews>
  <sheets>
    <sheet name="Data Entry Form" sheetId="2" r:id="rId1"/>
    <sheet name="Check your reservation" sheetId="12" r:id="rId2"/>
    <sheet name="Coaches and Officials" sheetId="5" r:id="rId3"/>
    <sheet name="Women" sheetId="8" r:id="rId4"/>
    <sheet name="Men" sheetId="9" r:id="rId5"/>
    <sheet name="Visa Application" sheetId="11" r:id="rId6"/>
    <sheet name="Kontrolle" sheetId="14" state="hidden" r:id="rId7"/>
    <sheet name="Check In Liste" sheetId="22" state="hidden" r:id="rId8"/>
    <sheet name="Voucher" sheetId="16" state="hidden" r:id="rId9"/>
    <sheet name="Rechnung A" sheetId="17" state="hidden" r:id="rId10"/>
    <sheet name="Rechnung B" sheetId="19" state="hidden" r:id="rId11"/>
    <sheet name="Rechnung C" sheetId="21" state="hidden" r:id="rId12"/>
    <sheet name="Federation" sheetId="18" state="hidden" r:id="rId13"/>
    <sheet name="Rechnung Entry Fee" sheetId="23" state="hidden" r:id="rId14"/>
    <sheet name="Parameters" sheetId="4" state="hidden" r:id="rId15"/>
  </sheets>
  <definedNames>
    <definedName name="AccFeeTotal">'Data Entry Form'!$AY$125</definedName>
    <definedName name="AccreditationFee">Parameters!$AU$3</definedName>
    <definedName name="AssignedCategory">Kontrolle!$C$5</definedName>
    <definedName name="Comment">'Data Entry Form'!$O$4</definedName>
    <definedName name="ContactPerson">'Data Entry Form'!$G$5</definedName>
    <definedName name="dbCheckInListe">INDIRECT(Parameters!$BD$3)</definedName>
    <definedName name="_xlnm.Print_Area" localSheetId="7">'Check In Liste'!$A$1:$N$26</definedName>
    <definedName name="_xlnm.Print_Area" localSheetId="1">'Check your reservation'!$A$1:$L$22</definedName>
    <definedName name="_xlnm.Print_Area" localSheetId="2">'Coaches and Officials'!$A$1:$I$46</definedName>
    <definedName name="_xlnm.Print_Area" localSheetId="0">'Data Entry Form'!$A$1:$AZ$130</definedName>
    <definedName name="_xlnm.Print_Area" localSheetId="4">Men!$A$1:$J$49</definedName>
    <definedName name="_xlnm.Print_Area" localSheetId="9">'Rechnung A'!$A$1:$G$31</definedName>
    <definedName name="_xlnm.Print_Area" localSheetId="10">'Rechnung B'!$A$1:$G$31</definedName>
    <definedName name="_xlnm.Print_Area" localSheetId="11">'Rechnung C'!$A$1:$G$30</definedName>
    <definedName name="_xlnm.Print_Area" localSheetId="13">'Rechnung Entry Fee'!$A$1:$G$31</definedName>
    <definedName name="_xlnm.Print_Area" localSheetId="5">'Visa Application'!$A$1:$J$68</definedName>
    <definedName name="_xlnm.Print_Area" localSheetId="8">Voucher!$A$1:$L$23</definedName>
    <definedName name="_xlnm.Print_Area" localSheetId="3">Women!$A$1:$J$49</definedName>
    <definedName name="_xlnm.Print_Titles" localSheetId="7">'Check In Liste'!$3:$6</definedName>
    <definedName name="_xlnm.Print_Titles" localSheetId="5">'Visa Application'!$6:$8</definedName>
    <definedName name="Email">'Data Entry Form'!$J$6</definedName>
    <definedName name="EntryFee">Parameters!$AU$6</definedName>
    <definedName name="Federation">'Data Entry Form'!$G$4</definedName>
    <definedName name="Header1">Parameters!$AW$2</definedName>
    <definedName name="Header2">Parameters!$AW$3</definedName>
    <definedName name="InvoiceSubtitle">Parameters!$AX$2</definedName>
    <definedName name="Kurzbezeichnung">Kontrolle!$C$2</definedName>
    <definedName name="lstArrivalDate" localSheetId="4">tblArrivalDates[ArrivalDate]</definedName>
    <definedName name="lstArrivalDate" localSheetId="10">tblArrivalDates[ArrivalDate]</definedName>
    <definedName name="lstArrivalDate" localSheetId="11">tblArrivalDates[ArrivalDate]</definedName>
    <definedName name="lstArrivalDate" localSheetId="13">tblArrivalDates[ArrivalDate]</definedName>
    <definedName name="lstArrivalDate">tblArrivalDates[ArrivalDate]</definedName>
    <definedName name="lstDepartureDate" localSheetId="4">tblDepartureDates[DepartureDate]</definedName>
    <definedName name="lstDepartureDate" localSheetId="10">tblDepartureDates[DepartureDate]</definedName>
    <definedName name="lstDepartureDate" localSheetId="11">tblDepartureDates[DepartureDate]</definedName>
    <definedName name="lstDepartureDate" localSheetId="13">tblDepartureDates[DepartureDate]</definedName>
    <definedName name="lstDepartureDate">tblDepartureDates[DepartureDate]</definedName>
    <definedName name="lstHotelCategory" localSheetId="4">tblHotelCategories[Category]</definedName>
    <definedName name="lstHotelCategory" localSheetId="10">tblHotelCategories[Category]</definedName>
    <definedName name="lstHotelCategory" localSheetId="11">tblHotelCategories[Category]</definedName>
    <definedName name="lstHotelCategory" localSheetId="13">tblHotelCategories[Category]</definedName>
    <definedName name="lstHotelCategory">tblHotelCategories[Category]</definedName>
    <definedName name="lstLocomotionType" localSheetId="4">tblLocomotionTypes[LocomotionType]</definedName>
    <definedName name="lstLocomotionType" localSheetId="10">tblLocomotionTypes[LocomotionType]</definedName>
    <definedName name="lstLocomotionType" localSheetId="11">tblLocomotionTypes[LocomotionType]</definedName>
    <definedName name="lstLocomotionType" localSheetId="13">tblLocomotionTypes[LocomotionType]</definedName>
    <definedName name="lstLocomotionType">tblLocomotionTypes[LocomotionType]</definedName>
    <definedName name="lstRoomAndLodging" localSheetId="4">tblRoomAndLodgings[Code]</definedName>
    <definedName name="lstRoomAndLodging" localSheetId="10">tblRoomAndLodgings[Code]</definedName>
    <definedName name="lstRoomAndLodging" localSheetId="11">tblRoomAndLodgings[Code]</definedName>
    <definedName name="lstRoomAndLodging" localSheetId="13">tblRoomAndLodgings[Code]</definedName>
    <definedName name="lstRoomAndLodging">tblRoomAndLodgings[Code]</definedName>
    <definedName name="lstRoomLodgingCompDays">Parameters!$AK$14:$AK$19</definedName>
    <definedName name="lstTransferLocation" localSheetId="4">tblTransferLocations[TransferLocation]</definedName>
    <definedName name="lstTransferLocation" localSheetId="10">tblTransferLocations[TransferLocation]</definedName>
    <definedName name="lstTransferLocation" localSheetId="11">tblTransferLocations[TransferLocation]</definedName>
    <definedName name="lstTransferLocation" localSheetId="13">tblTransferLocations[TransferLocation]</definedName>
    <definedName name="lstTransferLocation">tblTransferLocations[TransferLocation]</definedName>
    <definedName name="lstTravelLocation" localSheetId="4">tblTravelLocations[TravelLocation]</definedName>
    <definedName name="lstTravelLocation" localSheetId="10">tblTravelLocations[TravelLocation]</definedName>
    <definedName name="lstTravelLocation" localSheetId="11">tblTravelLocations[TravelLocation]</definedName>
    <definedName name="lstTravelLocation" localSheetId="13">tblTravelLocations[TravelLocation]</definedName>
    <definedName name="lstTravelLocation">tblTravelLocations[TravelLocation]</definedName>
    <definedName name="lstWeightOrFunctionCategory" localSheetId="4">tblWeightOrFunction[Category]</definedName>
    <definedName name="lstWeightOrFunctionCategory" localSheetId="10">tblWeightOrFunction[Category]</definedName>
    <definedName name="lstWeightOrFunctionCategory" localSheetId="11">tblWeightOrFunction[Category]</definedName>
    <definedName name="lstWeightOrFunctionCategory" localSheetId="13">tblWeightOrFunction[Category]</definedName>
    <definedName name="lstWeightOrFunctionCategory">tblWeightOrFunction[Category]</definedName>
    <definedName name="lstYesNo" localSheetId="4">tblTrainingCamp[TrainingCamp]</definedName>
    <definedName name="lstYesNo" localSheetId="10">tblTrainingCamp[TrainingCamp]</definedName>
    <definedName name="lstYesNo" localSheetId="11">tblTrainingCamp[TrainingCamp]</definedName>
    <definedName name="lstYesNo" localSheetId="13">tblTrainingCamp[TrainingCamp]</definedName>
    <definedName name="lstYesNo">tblTrainingCamp[TrainingCamp]</definedName>
    <definedName name="PhoneNumber">'Data Entry Form'!$G$6</definedName>
    <definedName name="Position">'Data Entry Form'!$J$5</definedName>
    <definedName name="SelectedCategory">'Data Entry Form'!$H$9</definedName>
    <definedName name="StartDate">Parameters!$M$13</definedName>
    <definedName name="tblSortedArrivalData" localSheetId="11">tblData[[Sorted Arr Id]:[Dep Shuttle Rang]]</definedName>
    <definedName name="tblSortedArrivalData" localSheetId="13">tblData[[Sorted Arr Id]:[Dep Shuttle Rang]]</definedName>
    <definedName name="tblSortedArrivalData">tblData[[Sorted Arr Id]:[Dep Shuttle Rang]]</definedName>
    <definedName name="tblSortedDepartureData" localSheetId="11">tblData[[Sorted Dep Id]:[Dep Shuttle Rang]]</definedName>
    <definedName name="tblSortedDepartureData" localSheetId="13">tblData[[Sorted Dep Id]:[Dep Shuttle Rang]]</definedName>
    <definedName name="tblSortedDepartureData">tblData[[Sorted Dep Id]:[Dep Shuttle Rang]]</definedName>
    <definedName name="tblSortedNameData" localSheetId="11">tblData[[Sorted Name Id]:[Dep Shuttle Rang]]</definedName>
    <definedName name="tblSortedNameData" localSheetId="13">tblData[[Sorted Name Id]:[Dep Shuttle Rang]]</definedName>
    <definedName name="tblSortedNameData">tblData[[Sorted Name Id]:[Dep Shuttle Rang]]</definedName>
    <definedName name="Unterkunft">Kontrolle!$C$6</definedName>
  </definedNames>
  <calcPr calcId="171027" concurrentCalc="0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G18" i="23" l="1"/>
  <c r="A17" i="4"/>
  <c r="A18" i="4"/>
  <c r="A19" i="4"/>
  <c r="A20" i="4"/>
  <c r="E3" i="4"/>
  <c r="F3" i="4"/>
  <c r="E4" i="4"/>
  <c r="F4" i="4"/>
  <c r="E5" i="4"/>
  <c r="F5" i="4"/>
  <c r="E6" i="4"/>
  <c r="F6" i="4"/>
  <c r="E7" i="4"/>
  <c r="F7" i="4"/>
  <c r="E8" i="4"/>
  <c r="F8" i="4"/>
  <c r="E9" i="4"/>
  <c r="F9" i="4"/>
  <c r="E10" i="4"/>
  <c r="F10" i="4"/>
  <c r="E11" i="4"/>
  <c r="F11" i="4"/>
  <c r="E12" i="4"/>
  <c r="F12" i="4"/>
  <c r="E13" i="4"/>
  <c r="F13" i="4"/>
  <c r="E14" i="4"/>
  <c r="F14" i="4"/>
  <c r="E15" i="4"/>
  <c r="F15" i="4"/>
  <c r="E16" i="4"/>
  <c r="F16" i="4"/>
  <c r="A21" i="4"/>
  <c r="A22" i="4"/>
  <c r="A23" i="4"/>
  <c r="A24" i="4"/>
  <c r="A25" i="4"/>
  <c r="A26" i="4"/>
  <c r="A27" i="4"/>
  <c r="A28" i="4"/>
  <c r="A29" i="4"/>
  <c r="A30" i="4"/>
  <c r="A31" i="4"/>
  <c r="A32" i="4"/>
  <c r="AW123" i="2"/>
  <c r="AQ123" i="2"/>
  <c r="AW14" i="2"/>
  <c r="AQ14" i="2"/>
  <c r="AW15" i="2"/>
  <c r="AQ15" i="2"/>
  <c r="AW16" i="2"/>
  <c r="AQ16" i="2"/>
  <c r="AW17" i="2"/>
  <c r="AQ17" i="2"/>
  <c r="AW18" i="2"/>
  <c r="AQ18" i="2"/>
  <c r="AW19" i="2"/>
  <c r="AQ19" i="2"/>
  <c r="AW20" i="2"/>
  <c r="AQ20" i="2"/>
  <c r="AW21" i="2"/>
  <c r="AQ21" i="2"/>
  <c r="AW22" i="2"/>
  <c r="AQ22" i="2"/>
  <c r="AW23" i="2"/>
  <c r="AQ23" i="2"/>
  <c r="AW24" i="2"/>
  <c r="AQ24" i="2"/>
  <c r="AW25" i="2"/>
  <c r="AQ25" i="2"/>
  <c r="AW26" i="2"/>
  <c r="AQ26" i="2"/>
  <c r="AW27" i="2"/>
  <c r="AQ27" i="2"/>
  <c r="AW28" i="2"/>
  <c r="AQ28" i="2"/>
  <c r="AW29" i="2"/>
  <c r="AQ29" i="2"/>
  <c r="AW30" i="2"/>
  <c r="AQ30" i="2"/>
  <c r="AW31" i="2"/>
  <c r="AQ31" i="2"/>
  <c r="AW32" i="2"/>
  <c r="AQ32" i="2"/>
  <c r="AW33" i="2"/>
  <c r="AQ33" i="2"/>
  <c r="AW34" i="2"/>
  <c r="AQ34" i="2"/>
  <c r="AW35" i="2"/>
  <c r="AQ35" i="2"/>
  <c r="AW36" i="2"/>
  <c r="AQ36" i="2"/>
  <c r="AW37" i="2"/>
  <c r="AQ37" i="2"/>
  <c r="AW38" i="2"/>
  <c r="AQ38" i="2"/>
  <c r="AW39" i="2"/>
  <c r="AQ39" i="2"/>
  <c r="AW40" i="2"/>
  <c r="AQ40" i="2"/>
  <c r="AW41" i="2"/>
  <c r="AQ41" i="2"/>
  <c r="AW42" i="2"/>
  <c r="AQ42" i="2"/>
  <c r="AW43" i="2"/>
  <c r="AQ43" i="2"/>
  <c r="AW44" i="2"/>
  <c r="AQ44" i="2"/>
  <c r="AW45" i="2"/>
  <c r="AQ45" i="2"/>
  <c r="AW46" i="2"/>
  <c r="AQ46" i="2"/>
  <c r="AW47" i="2"/>
  <c r="AQ47" i="2"/>
  <c r="AW48" i="2"/>
  <c r="AQ48" i="2"/>
  <c r="AW49" i="2"/>
  <c r="AQ49" i="2"/>
  <c r="AW50" i="2"/>
  <c r="AQ50" i="2"/>
  <c r="AW51" i="2"/>
  <c r="AQ51" i="2"/>
  <c r="AW52" i="2"/>
  <c r="AQ52" i="2"/>
  <c r="AW53" i="2"/>
  <c r="AQ53" i="2"/>
  <c r="AW54" i="2"/>
  <c r="AQ54" i="2"/>
  <c r="AW55" i="2"/>
  <c r="AQ55" i="2"/>
  <c r="AW56" i="2"/>
  <c r="AQ56" i="2"/>
  <c r="AW57" i="2"/>
  <c r="AQ57" i="2"/>
  <c r="AW58" i="2"/>
  <c r="AQ58" i="2"/>
  <c r="AW59" i="2"/>
  <c r="AQ59" i="2"/>
  <c r="AW60" i="2"/>
  <c r="AQ60" i="2"/>
  <c r="AW61" i="2"/>
  <c r="AQ61" i="2"/>
  <c r="AW62" i="2"/>
  <c r="AQ62" i="2"/>
  <c r="AW63" i="2"/>
  <c r="AQ63" i="2"/>
  <c r="AW64" i="2"/>
  <c r="AQ64" i="2"/>
  <c r="AW65" i="2"/>
  <c r="AQ65" i="2"/>
  <c r="AW66" i="2"/>
  <c r="AQ66" i="2"/>
  <c r="AW67" i="2"/>
  <c r="AQ67" i="2"/>
  <c r="AW68" i="2"/>
  <c r="AQ68" i="2"/>
  <c r="AW69" i="2"/>
  <c r="AQ69" i="2"/>
  <c r="AW70" i="2"/>
  <c r="AQ70" i="2"/>
  <c r="AW71" i="2"/>
  <c r="AQ71" i="2"/>
  <c r="AW72" i="2"/>
  <c r="AQ72" i="2"/>
  <c r="AW73" i="2"/>
  <c r="AQ73" i="2"/>
  <c r="AW74" i="2"/>
  <c r="AQ74" i="2"/>
  <c r="AW75" i="2"/>
  <c r="AQ75" i="2"/>
  <c r="AW76" i="2"/>
  <c r="AQ76" i="2"/>
  <c r="AW77" i="2"/>
  <c r="AQ77" i="2"/>
  <c r="AW78" i="2"/>
  <c r="AQ78" i="2"/>
  <c r="AW79" i="2"/>
  <c r="AQ79" i="2"/>
  <c r="AW80" i="2"/>
  <c r="AQ80" i="2"/>
  <c r="AW81" i="2"/>
  <c r="AQ81" i="2"/>
  <c r="AW82" i="2"/>
  <c r="AQ82" i="2"/>
  <c r="AW83" i="2"/>
  <c r="AQ83" i="2"/>
  <c r="AW84" i="2"/>
  <c r="AQ84" i="2"/>
  <c r="AW85" i="2"/>
  <c r="AQ85" i="2"/>
  <c r="AW86" i="2"/>
  <c r="AQ86" i="2"/>
  <c r="AW87" i="2"/>
  <c r="AQ87" i="2"/>
  <c r="AW88" i="2"/>
  <c r="AQ88" i="2"/>
  <c r="AW89" i="2"/>
  <c r="AQ89" i="2"/>
  <c r="AW90" i="2"/>
  <c r="AQ90" i="2"/>
  <c r="AW91" i="2"/>
  <c r="AQ91" i="2"/>
  <c r="AW92" i="2"/>
  <c r="AQ92" i="2"/>
  <c r="AW93" i="2"/>
  <c r="AQ93" i="2"/>
  <c r="AW94" i="2"/>
  <c r="AQ94" i="2"/>
  <c r="AW95" i="2"/>
  <c r="AQ95" i="2"/>
  <c r="AW96" i="2"/>
  <c r="AQ96" i="2"/>
  <c r="AW97" i="2"/>
  <c r="AQ97" i="2"/>
  <c r="AW98" i="2"/>
  <c r="AQ98" i="2"/>
  <c r="AW99" i="2"/>
  <c r="AQ99" i="2"/>
  <c r="AW100" i="2"/>
  <c r="AQ100" i="2"/>
  <c r="AW101" i="2"/>
  <c r="AQ101" i="2"/>
  <c r="AW102" i="2"/>
  <c r="AQ102" i="2"/>
  <c r="AW103" i="2"/>
  <c r="AQ103" i="2"/>
  <c r="AW104" i="2"/>
  <c r="AQ104" i="2"/>
  <c r="AW105" i="2"/>
  <c r="AQ105" i="2"/>
  <c r="AW106" i="2"/>
  <c r="AQ106" i="2"/>
  <c r="AW107" i="2"/>
  <c r="AQ107" i="2"/>
  <c r="AW108" i="2"/>
  <c r="AQ108" i="2"/>
  <c r="AW109" i="2"/>
  <c r="AQ109" i="2"/>
  <c r="AW110" i="2"/>
  <c r="AQ110" i="2"/>
  <c r="AW111" i="2"/>
  <c r="AQ111" i="2"/>
  <c r="AW112" i="2"/>
  <c r="AQ112" i="2"/>
  <c r="AW113" i="2"/>
  <c r="AQ113" i="2"/>
  <c r="AW114" i="2"/>
  <c r="AQ114" i="2"/>
  <c r="AW115" i="2"/>
  <c r="AQ115" i="2"/>
  <c r="AW116" i="2"/>
  <c r="AQ116" i="2"/>
  <c r="AW117" i="2"/>
  <c r="AQ117" i="2"/>
  <c r="AW118" i="2"/>
  <c r="AQ118" i="2"/>
  <c r="AW119" i="2"/>
  <c r="AQ119" i="2"/>
  <c r="AW120" i="2"/>
  <c r="AQ120" i="2"/>
  <c r="AW121" i="2"/>
  <c r="AQ121" i="2"/>
  <c r="AW122" i="2"/>
  <c r="AQ122" i="2"/>
  <c r="D84" i="14"/>
  <c r="F17" i="23"/>
  <c r="E84" i="14"/>
  <c r="E17" i="23"/>
  <c r="G17" i="23"/>
  <c r="G19" i="23"/>
  <c r="G20" i="23"/>
  <c r="G21" i="23"/>
  <c r="G22" i="23"/>
  <c r="G23" i="23"/>
  <c r="G24" i="23"/>
  <c r="G25" i="23"/>
  <c r="G26" i="23"/>
  <c r="G27" i="23"/>
  <c r="G28" i="23"/>
  <c r="E78" i="14"/>
  <c r="C16" i="14"/>
  <c r="D16" i="14"/>
  <c r="E16" i="14"/>
  <c r="F16" i="14"/>
  <c r="G16" i="14"/>
  <c r="H16" i="14"/>
  <c r="I16" i="14"/>
  <c r="J16" i="14"/>
  <c r="K16" i="14"/>
  <c r="L16" i="14"/>
  <c r="C17" i="14"/>
  <c r="D17" i="14"/>
  <c r="E17" i="14"/>
  <c r="F17" i="14"/>
  <c r="G17" i="14"/>
  <c r="H17" i="14"/>
  <c r="I17" i="14"/>
  <c r="J17" i="14"/>
  <c r="K17" i="14"/>
  <c r="L17" i="14"/>
  <c r="M17" i="14"/>
  <c r="D78" i="14"/>
  <c r="A18" i="23"/>
  <c r="A19" i="23"/>
  <c r="A20" i="23"/>
  <c r="A21" i="23"/>
  <c r="A22" i="23"/>
  <c r="A23" i="23"/>
  <c r="A24" i="23"/>
  <c r="A25" i="23"/>
  <c r="A26" i="23"/>
  <c r="A27" i="23"/>
  <c r="A64" i="14"/>
  <c r="F64" i="14"/>
  <c r="G64" i="14"/>
  <c r="H64" i="14"/>
  <c r="L64" i="14"/>
  <c r="M64" i="14"/>
  <c r="A65" i="14"/>
  <c r="F65" i="14"/>
  <c r="G65" i="14"/>
  <c r="H65" i="14"/>
  <c r="L65" i="14"/>
  <c r="M65" i="14"/>
  <c r="A66" i="14"/>
  <c r="F66" i="14"/>
  <c r="G66" i="14"/>
  <c r="H66" i="14"/>
  <c r="L66" i="14"/>
  <c r="M66" i="14"/>
  <c r="A67" i="14"/>
  <c r="F67" i="14"/>
  <c r="G67" i="14"/>
  <c r="H67" i="14"/>
  <c r="L67" i="14"/>
  <c r="M67" i="14"/>
  <c r="A68" i="14"/>
  <c r="F68" i="14"/>
  <c r="G68" i="14"/>
  <c r="H68" i="14"/>
  <c r="L68" i="14"/>
  <c r="M68" i="14"/>
  <c r="A69" i="14"/>
  <c r="F69" i="14"/>
  <c r="G69" i="14"/>
  <c r="H69" i="14"/>
  <c r="L69" i="14"/>
  <c r="M69" i="14"/>
  <c r="A70" i="14"/>
  <c r="F70" i="14"/>
  <c r="G70" i="14"/>
  <c r="H70" i="14"/>
  <c r="L70" i="14"/>
  <c r="M70" i="14"/>
  <c r="A71" i="14"/>
  <c r="F71" i="14"/>
  <c r="G71" i="14"/>
  <c r="H71" i="14"/>
  <c r="L71" i="14"/>
  <c r="M71" i="14"/>
  <c r="A72" i="14"/>
  <c r="F72" i="14"/>
  <c r="G72" i="14"/>
  <c r="H72" i="14"/>
  <c r="L72" i="14"/>
  <c r="M72" i="14"/>
  <c r="M73" i="14"/>
  <c r="M74" i="14"/>
  <c r="E86" i="14"/>
  <c r="M13" i="4"/>
  <c r="C42" i="14"/>
  <c r="A53" i="14"/>
  <c r="C53" i="14"/>
  <c r="A45" i="14"/>
  <c r="C45" i="14"/>
  <c r="C59" i="14"/>
  <c r="D42" i="14"/>
  <c r="D53" i="14"/>
  <c r="D45" i="14"/>
  <c r="D59" i="14"/>
  <c r="E42" i="14"/>
  <c r="E53" i="14"/>
  <c r="E45" i="14"/>
  <c r="E59" i="14"/>
  <c r="F42" i="14"/>
  <c r="F53" i="14"/>
  <c r="F45" i="14"/>
  <c r="F59" i="14"/>
  <c r="G42" i="14"/>
  <c r="G53" i="14"/>
  <c r="G45" i="14"/>
  <c r="G59" i="14"/>
  <c r="H42" i="14"/>
  <c r="H53" i="14"/>
  <c r="H45" i="14"/>
  <c r="H59" i="14"/>
  <c r="I42" i="14"/>
  <c r="I53" i="14"/>
  <c r="I45" i="14"/>
  <c r="I59" i="14"/>
  <c r="J42" i="14"/>
  <c r="J53" i="14"/>
  <c r="J45" i="14"/>
  <c r="J59" i="14"/>
  <c r="K42" i="14"/>
  <c r="K53" i="14"/>
  <c r="K45" i="14"/>
  <c r="K59" i="14"/>
  <c r="L42" i="14"/>
  <c r="L53" i="14"/>
  <c r="L45" i="14"/>
  <c r="L59" i="14"/>
  <c r="M59" i="14"/>
  <c r="D85" i="14"/>
  <c r="E83" i="14"/>
  <c r="AP14" i="2"/>
  <c r="AP15" i="2"/>
  <c r="AP16" i="2"/>
  <c r="AP17" i="2"/>
  <c r="AP18" i="2"/>
  <c r="AP19" i="2"/>
  <c r="AP20" i="2"/>
  <c r="AP21" i="2"/>
  <c r="AP22" i="2"/>
  <c r="AP23" i="2"/>
  <c r="AP24" i="2"/>
  <c r="AP25" i="2"/>
  <c r="AP26" i="2"/>
  <c r="AP27" i="2"/>
  <c r="AP28" i="2"/>
  <c r="AP29" i="2"/>
  <c r="AP30" i="2"/>
  <c r="AP31" i="2"/>
  <c r="AP32" i="2"/>
  <c r="AP33" i="2"/>
  <c r="AP34" i="2"/>
  <c r="AP35" i="2"/>
  <c r="AP36" i="2"/>
  <c r="AP37" i="2"/>
  <c r="AP38" i="2"/>
  <c r="AP39" i="2"/>
  <c r="AP40" i="2"/>
  <c r="AP41" i="2"/>
  <c r="AP42" i="2"/>
  <c r="AP43" i="2"/>
  <c r="AP44" i="2"/>
  <c r="AP45" i="2"/>
  <c r="AP46" i="2"/>
  <c r="AP47" i="2"/>
  <c r="AP48" i="2"/>
  <c r="AP49" i="2"/>
  <c r="AP50" i="2"/>
  <c r="AP51" i="2"/>
  <c r="AP52" i="2"/>
  <c r="AP53" i="2"/>
  <c r="AP54" i="2"/>
  <c r="AP55" i="2"/>
  <c r="AP56" i="2"/>
  <c r="AP57" i="2"/>
  <c r="AP58" i="2"/>
  <c r="AP59" i="2"/>
  <c r="AP60" i="2"/>
  <c r="AP61" i="2"/>
  <c r="AP62" i="2"/>
  <c r="AP63" i="2"/>
  <c r="AP64" i="2"/>
  <c r="AP65" i="2"/>
  <c r="AP66" i="2"/>
  <c r="AP67" i="2"/>
  <c r="AP68" i="2"/>
  <c r="AP69" i="2"/>
  <c r="AP70" i="2"/>
  <c r="AP71" i="2"/>
  <c r="AP72" i="2"/>
  <c r="AP73" i="2"/>
  <c r="AP74" i="2"/>
  <c r="AP75" i="2"/>
  <c r="AP76" i="2"/>
  <c r="AP77" i="2"/>
  <c r="AP78" i="2"/>
  <c r="AP79" i="2"/>
  <c r="AP80" i="2"/>
  <c r="AP81" i="2"/>
  <c r="AP82" i="2"/>
  <c r="AP83" i="2"/>
  <c r="AP84" i="2"/>
  <c r="AP85" i="2"/>
  <c r="AP86" i="2"/>
  <c r="AP87" i="2"/>
  <c r="AP88" i="2"/>
  <c r="AP89" i="2"/>
  <c r="AP90" i="2"/>
  <c r="AP91" i="2"/>
  <c r="AP92" i="2"/>
  <c r="AP93" i="2"/>
  <c r="AP94" i="2"/>
  <c r="AP95" i="2"/>
  <c r="AP96" i="2"/>
  <c r="AP97" i="2"/>
  <c r="AP98" i="2"/>
  <c r="AP99" i="2"/>
  <c r="AP100" i="2"/>
  <c r="AP101" i="2"/>
  <c r="AP102" i="2"/>
  <c r="AP103" i="2"/>
  <c r="AP104" i="2"/>
  <c r="AP105" i="2"/>
  <c r="AP106" i="2"/>
  <c r="AP107" i="2"/>
  <c r="AP108" i="2"/>
  <c r="AP109" i="2"/>
  <c r="AP110" i="2"/>
  <c r="AP111" i="2"/>
  <c r="AP112" i="2"/>
  <c r="AP113" i="2"/>
  <c r="AP114" i="2"/>
  <c r="AP115" i="2"/>
  <c r="AP116" i="2"/>
  <c r="AP117" i="2"/>
  <c r="AP118" i="2"/>
  <c r="AP119" i="2"/>
  <c r="AP120" i="2"/>
  <c r="AP121" i="2"/>
  <c r="AP122" i="2"/>
  <c r="AP123" i="2"/>
  <c r="D83" i="14"/>
  <c r="E81" i="14"/>
  <c r="E82" i="14"/>
  <c r="C30" i="14"/>
  <c r="D30" i="14"/>
  <c r="E30" i="14"/>
  <c r="F30" i="14"/>
  <c r="G30" i="14"/>
  <c r="H30" i="14"/>
  <c r="I30" i="14"/>
  <c r="J30" i="14"/>
  <c r="K30" i="14"/>
  <c r="L30" i="14"/>
  <c r="D82" i="14"/>
  <c r="C29" i="14"/>
  <c r="D29" i="14"/>
  <c r="E29" i="14"/>
  <c r="F29" i="14"/>
  <c r="G29" i="14"/>
  <c r="H29" i="14"/>
  <c r="I29" i="14"/>
  <c r="J29" i="14"/>
  <c r="K29" i="14"/>
  <c r="L29" i="14"/>
  <c r="D81" i="14"/>
  <c r="E80" i="14"/>
  <c r="C20" i="14"/>
  <c r="D20" i="14"/>
  <c r="E20" i="14"/>
  <c r="F20" i="14"/>
  <c r="G20" i="14"/>
  <c r="H20" i="14"/>
  <c r="I20" i="14"/>
  <c r="J20" i="14"/>
  <c r="K20" i="14"/>
  <c r="L20" i="14"/>
  <c r="C21" i="14"/>
  <c r="D21" i="14"/>
  <c r="E21" i="14"/>
  <c r="F21" i="14"/>
  <c r="G21" i="14"/>
  <c r="H21" i="14"/>
  <c r="I21" i="14"/>
  <c r="J21" i="14"/>
  <c r="K21" i="14"/>
  <c r="L21" i="14"/>
  <c r="M21" i="14"/>
  <c r="D80" i="14"/>
  <c r="E79" i="14"/>
  <c r="C18" i="14"/>
  <c r="D18" i="14"/>
  <c r="E18" i="14"/>
  <c r="F18" i="14"/>
  <c r="G18" i="14"/>
  <c r="H18" i="14"/>
  <c r="I18" i="14"/>
  <c r="J18" i="14"/>
  <c r="K18" i="14"/>
  <c r="L18" i="14"/>
  <c r="C19" i="14"/>
  <c r="D19" i="14"/>
  <c r="E19" i="14"/>
  <c r="F19" i="14"/>
  <c r="G19" i="14"/>
  <c r="H19" i="14"/>
  <c r="I19" i="14"/>
  <c r="J19" i="14"/>
  <c r="K19" i="14"/>
  <c r="L19" i="14"/>
  <c r="M19" i="14"/>
  <c r="D79" i="14"/>
  <c r="A14" i="23"/>
  <c r="A10" i="23"/>
  <c r="A9" i="23"/>
  <c r="A8" i="23"/>
  <c r="C1" i="14"/>
  <c r="A7" i="23"/>
  <c r="A2" i="23"/>
  <c r="A1" i="23"/>
  <c r="D5" i="14"/>
  <c r="G84" i="14"/>
  <c r="I84" i="14"/>
  <c r="BF10" i="2"/>
  <c r="AS12" i="2"/>
  <c r="AA3" i="4"/>
  <c r="Z3" i="4"/>
  <c r="AP3" i="4"/>
  <c r="AQ3" i="4"/>
  <c r="AE3" i="4"/>
  <c r="AR3" i="4"/>
  <c r="AS3" i="4"/>
  <c r="AO14" i="2"/>
  <c r="AO15" i="2"/>
  <c r="AO16" i="2"/>
  <c r="AO17" i="2"/>
  <c r="AO18" i="2"/>
  <c r="AO19" i="2"/>
  <c r="AO20" i="2"/>
  <c r="AO21" i="2"/>
  <c r="AO22" i="2"/>
  <c r="AO23" i="2"/>
  <c r="AO24" i="2"/>
  <c r="AO25" i="2"/>
  <c r="AO26" i="2"/>
  <c r="AO27" i="2"/>
  <c r="AO28" i="2"/>
  <c r="AO29" i="2"/>
  <c r="AO30" i="2"/>
  <c r="AO31" i="2"/>
  <c r="AO32" i="2"/>
  <c r="AO33" i="2"/>
  <c r="AO34" i="2"/>
  <c r="AO35" i="2"/>
  <c r="AO36" i="2"/>
  <c r="AO37" i="2"/>
  <c r="AO38" i="2"/>
  <c r="AO39" i="2"/>
  <c r="AO40" i="2"/>
  <c r="AO41" i="2"/>
  <c r="AO42" i="2"/>
  <c r="AO43" i="2"/>
  <c r="AO44" i="2"/>
  <c r="AO45" i="2"/>
  <c r="AO46" i="2"/>
  <c r="AO47" i="2"/>
  <c r="AO48" i="2"/>
  <c r="AO49" i="2"/>
  <c r="AO50" i="2"/>
  <c r="AO51" i="2"/>
  <c r="AO52" i="2"/>
  <c r="AO53" i="2"/>
  <c r="AO54" i="2"/>
  <c r="AO55" i="2"/>
  <c r="AO56" i="2"/>
  <c r="AO57" i="2"/>
  <c r="AO58" i="2"/>
  <c r="AO59" i="2"/>
  <c r="AO60" i="2"/>
  <c r="AO61" i="2"/>
  <c r="AO62" i="2"/>
  <c r="AO63" i="2"/>
  <c r="AO64" i="2"/>
  <c r="AO65" i="2"/>
  <c r="AO66" i="2"/>
  <c r="AO67" i="2"/>
  <c r="AO68" i="2"/>
  <c r="AO69" i="2"/>
  <c r="AO70" i="2"/>
  <c r="AO71" i="2"/>
  <c r="AO72" i="2"/>
  <c r="AO73" i="2"/>
  <c r="AO74" i="2"/>
  <c r="AO75" i="2"/>
  <c r="AO76" i="2"/>
  <c r="AO77" i="2"/>
  <c r="AO78" i="2"/>
  <c r="AO79" i="2"/>
  <c r="AO80" i="2"/>
  <c r="AO81" i="2"/>
  <c r="AO82" i="2"/>
  <c r="AO83" i="2"/>
  <c r="AO84" i="2"/>
  <c r="AO85" i="2"/>
  <c r="AO86" i="2"/>
  <c r="AO87" i="2"/>
  <c r="AO88" i="2"/>
  <c r="AO89" i="2"/>
  <c r="AO90" i="2"/>
  <c r="AO91" i="2"/>
  <c r="AO92" i="2"/>
  <c r="AO93" i="2"/>
  <c r="AO94" i="2"/>
  <c r="AO95" i="2"/>
  <c r="AO96" i="2"/>
  <c r="AO97" i="2"/>
  <c r="AO98" i="2"/>
  <c r="AO99" i="2"/>
  <c r="AO100" i="2"/>
  <c r="AO101" i="2"/>
  <c r="AO102" i="2"/>
  <c r="AO103" i="2"/>
  <c r="AO104" i="2"/>
  <c r="AO105" i="2"/>
  <c r="AO106" i="2"/>
  <c r="AO107" i="2"/>
  <c r="AO108" i="2"/>
  <c r="AO109" i="2"/>
  <c r="AO110" i="2"/>
  <c r="AO111" i="2"/>
  <c r="AO112" i="2"/>
  <c r="AO113" i="2"/>
  <c r="AO114" i="2"/>
  <c r="AO115" i="2"/>
  <c r="AO116" i="2"/>
  <c r="AO117" i="2"/>
  <c r="AO118" i="2"/>
  <c r="AO119" i="2"/>
  <c r="AO120" i="2"/>
  <c r="AO121" i="2"/>
  <c r="AO122" i="2"/>
  <c r="AO123" i="2"/>
  <c r="AR14" i="2"/>
  <c r="AR15" i="2"/>
  <c r="AR16" i="2"/>
  <c r="AR17" i="2"/>
  <c r="AR18" i="2"/>
  <c r="AR19" i="2"/>
  <c r="AR20" i="2"/>
  <c r="AR21" i="2"/>
  <c r="AR22" i="2"/>
  <c r="AR23" i="2"/>
  <c r="AR24" i="2"/>
  <c r="AR25" i="2"/>
  <c r="AR26" i="2"/>
  <c r="AR27" i="2"/>
  <c r="AR28" i="2"/>
  <c r="AR29" i="2"/>
  <c r="AR30" i="2"/>
  <c r="AR31" i="2"/>
  <c r="AR32" i="2"/>
  <c r="AR33" i="2"/>
  <c r="AR34" i="2"/>
  <c r="AR35" i="2"/>
  <c r="AR36" i="2"/>
  <c r="AR37" i="2"/>
  <c r="AR38" i="2"/>
  <c r="AR39" i="2"/>
  <c r="AR40" i="2"/>
  <c r="AR41" i="2"/>
  <c r="AR42" i="2"/>
  <c r="AR43" i="2"/>
  <c r="AR44" i="2"/>
  <c r="AR45" i="2"/>
  <c r="AR46" i="2"/>
  <c r="AR47" i="2"/>
  <c r="AR48" i="2"/>
  <c r="AR49" i="2"/>
  <c r="AR50" i="2"/>
  <c r="AR51" i="2"/>
  <c r="AR52" i="2"/>
  <c r="AR53" i="2"/>
  <c r="AR54" i="2"/>
  <c r="AR55" i="2"/>
  <c r="AR56" i="2"/>
  <c r="AR57" i="2"/>
  <c r="AR58" i="2"/>
  <c r="AR59" i="2"/>
  <c r="AR60" i="2"/>
  <c r="AR61" i="2"/>
  <c r="AR62" i="2"/>
  <c r="AR63" i="2"/>
  <c r="AR64" i="2"/>
  <c r="AR65" i="2"/>
  <c r="AR66" i="2"/>
  <c r="AR67" i="2"/>
  <c r="AR68" i="2"/>
  <c r="AR69" i="2"/>
  <c r="AR70" i="2"/>
  <c r="AR71" i="2"/>
  <c r="AR72" i="2"/>
  <c r="AR73" i="2"/>
  <c r="AR74" i="2"/>
  <c r="AR75" i="2"/>
  <c r="AR76" i="2"/>
  <c r="AR77" i="2"/>
  <c r="AR78" i="2"/>
  <c r="AR79" i="2"/>
  <c r="AR80" i="2"/>
  <c r="AR81" i="2"/>
  <c r="AR82" i="2"/>
  <c r="AR83" i="2"/>
  <c r="AR84" i="2"/>
  <c r="AR85" i="2"/>
  <c r="AR86" i="2"/>
  <c r="AR87" i="2"/>
  <c r="AR88" i="2"/>
  <c r="AR89" i="2"/>
  <c r="AR90" i="2"/>
  <c r="AR91" i="2"/>
  <c r="AR92" i="2"/>
  <c r="AR93" i="2"/>
  <c r="AR94" i="2"/>
  <c r="AR95" i="2"/>
  <c r="AR96" i="2"/>
  <c r="AR97" i="2"/>
  <c r="AR98" i="2"/>
  <c r="AR99" i="2"/>
  <c r="AR100" i="2"/>
  <c r="AR101" i="2"/>
  <c r="AR102" i="2"/>
  <c r="AR103" i="2"/>
  <c r="AR104" i="2"/>
  <c r="AR105" i="2"/>
  <c r="AR106" i="2"/>
  <c r="AR107" i="2"/>
  <c r="AR108" i="2"/>
  <c r="AR109" i="2"/>
  <c r="AR110" i="2"/>
  <c r="AR111" i="2"/>
  <c r="AR112" i="2"/>
  <c r="AR113" i="2"/>
  <c r="AR114" i="2"/>
  <c r="AR115" i="2"/>
  <c r="AR116" i="2"/>
  <c r="AR117" i="2"/>
  <c r="AR118" i="2"/>
  <c r="AR119" i="2"/>
  <c r="AR120" i="2"/>
  <c r="AR121" i="2"/>
  <c r="AR122" i="2"/>
  <c r="AR123" i="2"/>
  <c r="AS14" i="2"/>
  <c r="AS15" i="2"/>
  <c r="AS16" i="2"/>
  <c r="AS17" i="2"/>
  <c r="AS18" i="2"/>
  <c r="AS19" i="2"/>
  <c r="AS20" i="2"/>
  <c r="AS21" i="2"/>
  <c r="AS22" i="2"/>
  <c r="AS23" i="2"/>
  <c r="AS24" i="2"/>
  <c r="AS25" i="2"/>
  <c r="AS26" i="2"/>
  <c r="AS27" i="2"/>
  <c r="AS28" i="2"/>
  <c r="AS29" i="2"/>
  <c r="AS30" i="2"/>
  <c r="AS31" i="2"/>
  <c r="AS32" i="2"/>
  <c r="AS33" i="2"/>
  <c r="AS34" i="2"/>
  <c r="AS35" i="2"/>
  <c r="AS36" i="2"/>
  <c r="AS37" i="2"/>
  <c r="AS38" i="2"/>
  <c r="AS39" i="2"/>
  <c r="AS40" i="2"/>
  <c r="AS41" i="2"/>
  <c r="AS42" i="2"/>
  <c r="AS43" i="2"/>
  <c r="AS44" i="2"/>
  <c r="AS45" i="2"/>
  <c r="AS46" i="2"/>
  <c r="AS47" i="2"/>
  <c r="AS48" i="2"/>
  <c r="AS49" i="2"/>
  <c r="AS50" i="2"/>
  <c r="AS51" i="2"/>
  <c r="AS52" i="2"/>
  <c r="AS53" i="2"/>
  <c r="AS54" i="2"/>
  <c r="AS55" i="2"/>
  <c r="AS56" i="2"/>
  <c r="AS57" i="2"/>
  <c r="AS58" i="2"/>
  <c r="AS59" i="2"/>
  <c r="AS60" i="2"/>
  <c r="AS61" i="2"/>
  <c r="AS62" i="2"/>
  <c r="AS63" i="2"/>
  <c r="AS64" i="2"/>
  <c r="AS65" i="2"/>
  <c r="AS66" i="2"/>
  <c r="AS67" i="2"/>
  <c r="AS68" i="2"/>
  <c r="AS69" i="2"/>
  <c r="AS70" i="2"/>
  <c r="AS71" i="2"/>
  <c r="AS72" i="2"/>
  <c r="AS73" i="2"/>
  <c r="AS74" i="2"/>
  <c r="AS75" i="2"/>
  <c r="AS76" i="2"/>
  <c r="AS77" i="2"/>
  <c r="AS78" i="2"/>
  <c r="AS79" i="2"/>
  <c r="AS80" i="2"/>
  <c r="AS81" i="2"/>
  <c r="AS82" i="2"/>
  <c r="AS83" i="2"/>
  <c r="AS84" i="2"/>
  <c r="AS85" i="2"/>
  <c r="AS86" i="2"/>
  <c r="AS87" i="2"/>
  <c r="AS88" i="2"/>
  <c r="AS89" i="2"/>
  <c r="AS90" i="2"/>
  <c r="AS91" i="2"/>
  <c r="AS92" i="2"/>
  <c r="AS93" i="2"/>
  <c r="AS94" i="2"/>
  <c r="AS95" i="2"/>
  <c r="AS96" i="2"/>
  <c r="AS97" i="2"/>
  <c r="AS98" i="2"/>
  <c r="AS99" i="2"/>
  <c r="AS100" i="2"/>
  <c r="AS101" i="2"/>
  <c r="AS102" i="2"/>
  <c r="AS103" i="2"/>
  <c r="AS104" i="2"/>
  <c r="AS105" i="2"/>
  <c r="AS106" i="2"/>
  <c r="AS107" i="2"/>
  <c r="AS108" i="2"/>
  <c r="AS109" i="2"/>
  <c r="AS110" i="2"/>
  <c r="AS111" i="2"/>
  <c r="AS112" i="2"/>
  <c r="AS113" i="2"/>
  <c r="AS114" i="2"/>
  <c r="AS115" i="2"/>
  <c r="AS116" i="2"/>
  <c r="AS117" i="2"/>
  <c r="AS118" i="2"/>
  <c r="AS119" i="2"/>
  <c r="AS120" i="2"/>
  <c r="AS121" i="2"/>
  <c r="AS122" i="2"/>
  <c r="AS123" i="2"/>
  <c r="C10" i="16"/>
  <c r="D10" i="16"/>
  <c r="E10" i="16"/>
  <c r="F10" i="16"/>
  <c r="G10" i="16"/>
  <c r="H10" i="16"/>
  <c r="I10" i="16"/>
  <c r="J10" i="16"/>
  <c r="K10" i="16"/>
  <c r="CG11" i="2"/>
  <c r="AV15" i="2"/>
  <c r="E15" i="2"/>
  <c r="A15" i="2"/>
  <c r="CG15" i="2" a="1"/>
  <c r="CG15" i="2"/>
  <c r="AV14" i="2"/>
  <c r="A14" i="2"/>
  <c r="AV16" i="2"/>
  <c r="E16" i="2"/>
  <c r="A16" i="2"/>
  <c r="AV17" i="2"/>
  <c r="E17" i="2"/>
  <c r="A17" i="2"/>
  <c r="AV18" i="2"/>
  <c r="E18" i="2"/>
  <c r="A18" i="2"/>
  <c r="AV19" i="2"/>
  <c r="E19" i="2"/>
  <c r="A19" i="2"/>
  <c r="AV20" i="2"/>
  <c r="E20" i="2"/>
  <c r="A20" i="2"/>
  <c r="AV21" i="2"/>
  <c r="E21" i="2"/>
  <c r="A21" i="2"/>
  <c r="AV22" i="2"/>
  <c r="E22" i="2"/>
  <c r="A22" i="2"/>
  <c r="AV23" i="2"/>
  <c r="E23" i="2"/>
  <c r="A23" i="2"/>
  <c r="AV24" i="2"/>
  <c r="E24" i="2"/>
  <c r="A24" i="2"/>
  <c r="AV25" i="2"/>
  <c r="E25" i="2"/>
  <c r="A25" i="2"/>
  <c r="AV26" i="2"/>
  <c r="E26" i="2"/>
  <c r="A26" i="2"/>
  <c r="AV27" i="2"/>
  <c r="E27" i="2"/>
  <c r="A27" i="2"/>
  <c r="AV28" i="2"/>
  <c r="E28" i="2"/>
  <c r="A28" i="2"/>
  <c r="AV29" i="2"/>
  <c r="E29" i="2"/>
  <c r="A29" i="2"/>
  <c r="AV30" i="2"/>
  <c r="E30" i="2"/>
  <c r="A30" i="2"/>
  <c r="AV31" i="2"/>
  <c r="E31" i="2"/>
  <c r="A31" i="2"/>
  <c r="AV32" i="2"/>
  <c r="E32" i="2"/>
  <c r="A32" i="2"/>
  <c r="AV33" i="2"/>
  <c r="E33" i="2"/>
  <c r="A33" i="2"/>
  <c r="AV34" i="2"/>
  <c r="E34" i="2"/>
  <c r="A34" i="2"/>
  <c r="AV35" i="2"/>
  <c r="E35" i="2"/>
  <c r="A35" i="2"/>
  <c r="AV36" i="2"/>
  <c r="E36" i="2"/>
  <c r="A36" i="2"/>
  <c r="AV37" i="2"/>
  <c r="E37" i="2"/>
  <c r="A37" i="2"/>
  <c r="AV38" i="2"/>
  <c r="E38" i="2"/>
  <c r="A38" i="2"/>
  <c r="AV39" i="2"/>
  <c r="E39" i="2"/>
  <c r="A39" i="2"/>
  <c r="AV40" i="2"/>
  <c r="E40" i="2"/>
  <c r="A40" i="2"/>
  <c r="AV41" i="2"/>
  <c r="E41" i="2"/>
  <c r="A41" i="2"/>
  <c r="AV42" i="2"/>
  <c r="E42" i="2"/>
  <c r="A42" i="2"/>
  <c r="AV43" i="2"/>
  <c r="E43" i="2"/>
  <c r="A43" i="2"/>
  <c r="AV44" i="2"/>
  <c r="E44" i="2"/>
  <c r="A44" i="2"/>
  <c r="AV45" i="2"/>
  <c r="E45" i="2"/>
  <c r="A45" i="2"/>
  <c r="AV46" i="2"/>
  <c r="E46" i="2"/>
  <c r="A46" i="2"/>
  <c r="AV47" i="2"/>
  <c r="E47" i="2"/>
  <c r="A47" i="2"/>
  <c r="AV48" i="2"/>
  <c r="E48" i="2"/>
  <c r="A48" i="2"/>
  <c r="AV49" i="2"/>
  <c r="E49" i="2"/>
  <c r="A49" i="2"/>
  <c r="AV50" i="2"/>
  <c r="E50" i="2"/>
  <c r="A50" i="2"/>
  <c r="AV51" i="2"/>
  <c r="E51" i="2"/>
  <c r="A51" i="2"/>
  <c r="AV52" i="2"/>
  <c r="E52" i="2"/>
  <c r="A52" i="2"/>
  <c r="AV53" i="2"/>
  <c r="E53" i="2"/>
  <c r="A53" i="2"/>
  <c r="AV54" i="2"/>
  <c r="E54" i="2"/>
  <c r="A54" i="2"/>
  <c r="AV55" i="2"/>
  <c r="E55" i="2"/>
  <c r="A55" i="2"/>
  <c r="AV56" i="2"/>
  <c r="E56" i="2"/>
  <c r="A56" i="2"/>
  <c r="AV57" i="2"/>
  <c r="E57" i="2"/>
  <c r="A57" i="2"/>
  <c r="AV58" i="2"/>
  <c r="E58" i="2"/>
  <c r="A58" i="2"/>
  <c r="AV59" i="2"/>
  <c r="E59" i="2"/>
  <c r="A59" i="2"/>
  <c r="AV60" i="2"/>
  <c r="E60" i="2"/>
  <c r="A60" i="2"/>
  <c r="AV61" i="2"/>
  <c r="E61" i="2"/>
  <c r="A61" i="2"/>
  <c r="AV62" i="2"/>
  <c r="E62" i="2"/>
  <c r="A62" i="2"/>
  <c r="AV63" i="2"/>
  <c r="E63" i="2"/>
  <c r="A63" i="2"/>
  <c r="AV64" i="2"/>
  <c r="E64" i="2"/>
  <c r="A64" i="2"/>
  <c r="AV65" i="2"/>
  <c r="E65" i="2"/>
  <c r="A65" i="2"/>
  <c r="AV66" i="2"/>
  <c r="E66" i="2"/>
  <c r="A66" i="2"/>
  <c r="AV67" i="2"/>
  <c r="E67" i="2"/>
  <c r="A67" i="2"/>
  <c r="AV68" i="2"/>
  <c r="E68" i="2"/>
  <c r="A68" i="2"/>
  <c r="AV69" i="2"/>
  <c r="E69" i="2"/>
  <c r="A69" i="2"/>
  <c r="AV70" i="2"/>
  <c r="E70" i="2"/>
  <c r="A70" i="2"/>
  <c r="AV71" i="2"/>
  <c r="E71" i="2"/>
  <c r="A71" i="2"/>
  <c r="AV72" i="2"/>
  <c r="E72" i="2"/>
  <c r="A72" i="2"/>
  <c r="AV73" i="2"/>
  <c r="E73" i="2"/>
  <c r="A73" i="2"/>
  <c r="AV74" i="2"/>
  <c r="E74" i="2"/>
  <c r="A74" i="2"/>
  <c r="AV75" i="2"/>
  <c r="E75" i="2"/>
  <c r="A75" i="2"/>
  <c r="AV76" i="2"/>
  <c r="E76" i="2"/>
  <c r="A76" i="2"/>
  <c r="AV77" i="2"/>
  <c r="E77" i="2"/>
  <c r="A77" i="2"/>
  <c r="AV78" i="2"/>
  <c r="E78" i="2"/>
  <c r="A78" i="2"/>
  <c r="AV79" i="2"/>
  <c r="E79" i="2"/>
  <c r="A79" i="2"/>
  <c r="AV80" i="2"/>
  <c r="E80" i="2"/>
  <c r="A80" i="2"/>
  <c r="AV81" i="2"/>
  <c r="E81" i="2"/>
  <c r="A81" i="2"/>
  <c r="AV82" i="2"/>
  <c r="E82" i="2"/>
  <c r="A82" i="2"/>
  <c r="AV83" i="2"/>
  <c r="E83" i="2"/>
  <c r="A83" i="2"/>
  <c r="AV84" i="2"/>
  <c r="E84" i="2"/>
  <c r="A84" i="2"/>
  <c r="AV85" i="2"/>
  <c r="E85" i="2"/>
  <c r="A85" i="2"/>
  <c r="AV86" i="2"/>
  <c r="E86" i="2"/>
  <c r="A86" i="2"/>
  <c r="AV87" i="2"/>
  <c r="E87" i="2"/>
  <c r="A87" i="2"/>
  <c r="AV88" i="2"/>
  <c r="E88" i="2"/>
  <c r="A88" i="2"/>
  <c r="AV89" i="2"/>
  <c r="E89" i="2"/>
  <c r="A89" i="2"/>
  <c r="AV90" i="2"/>
  <c r="E90" i="2"/>
  <c r="A90" i="2"/>
  <c r="AV91" i="2"/>
  <c r="E91" i="2"/>
  <c r="A91" i="2"/>
  <c r="AV92" i="2"/>
  <c r="E92" i="2"/>
  <c r="A92" i="2"/>
  <c r="AV93" i="2"/>
  <c r="E93" i="2"/>
  <c r="A93" i="2"/>
  <c r="AV94" i="2"/>
  <c r="E94" i="2"/>
  <c r="A94" i="2"/>
  <c r="AV95" i="2"/>
  <c r="E95" i="2"/>
  <c r="A95" i="2"/>
  <c r="AV96" i="2"/>
  <c r="E96" i="2"/>
  <c r="A96" i="2"/>
  <c r="AV97" i="2"/>
  <c r="E97" i="2"/>
  <c r="A97" i="2"/>
  <c r="AV98" i="2"/>
  <c r="E98" i="2"/>
  <c r="A98" i="2"/>
  <c r="AV99" i="2"/>
  <c r="E99" i="2"/>
  <c r="A99" i="2"/>
  <c r="AV100" i="2"/>
  <c r="E100" i="2"/>
  <c r="A100" i="2"/>
  <c r="AV101" i="2"/>
  <c r="E101" i="2"/>
  <c r="A101" i="2"/>
  <c r="AV102" i="2"/>
  <c r="E102" i="2"/>
  <c r="A102" i="2"/>
  <c r="AV103" i="2"/>
  <c r="E103" i="2"/>
  <c r="A103" i="2"/>
  <c r="AV104" i="2"/>
  <c r="E104" i="2"/>
  <c r="A104" i="2"/>
  <c r="AV105" i="2"/>
  <c r="E105" i="2"/>
  <c r="A105" i="2"/>
  <c r="AV106" i="2"/>
  <c r="E106" i="2"/>
  <c r="A106" i="2"/>
  <c r="AV107" i="2"/>
  <c r="E107" i="2"/>
  <c r="A107" i="2"/>
  <c r="AV108" i="2"/>
  <c r="E108" i="2"/>
  <c r="A108" i="2"/>
  <c r="AV109" i="2"/>
  <c r="E109" i="2"/>
  <c r="A109" i="2"/>
  <c r="AV110" i="2"/>
  <c r="E110" i="2"/>
  <c r="A110" i="2"/>
  <c r="AV111" i="2"/>
  <c r="E111" i="2"/>
  <c r="A111" i="2"/>
  <c r="AV112" i="2"/>
  <c r="E112" i="2"/>
  <c r="A112" i="2"/>
  <c r="AV113" i="2"/>
  <c r="E113" i="2"/>
  <c r="A113" i="2"/>
  <c r="AV114" i="2"/>
  <c r="E114" i="2"/>
  <c r="A114" i="2"/>
  <c r="AV115" i="2"/>
  <c r="E115" i="2"/>
  <c r="A115" i="2"/>
  <c r="AV116" i="2"/>
  <c r="E116" i="2"/>
  <c r="A116" i="2"/>
  <c r="AV117" i="2"/>
  <c r="E117" i="2"/>
  <c r="A117" i="2"/>
  <c r="AV118" i="2"/>
  <c r="E118" i="2"/>
  <c r="A118" i="2"/>
  <c r="AV119" i="2"/>
  <c r="E119" i="2"/>
  <c r="A119" i="2"/>
  <c r="AV120" i="2"/>
  <c r="E120" i="2"/>
  <c r="A120" i="2"/>
  <c r="AV121" i="2"/>
  <c r="E121" i="2"/>
  <c r="A121" i="2"/>
  <c r="AV122" i="2"/>
  <c r="E122" i="2"/>
  <c r="A122" i="2"/>
  <c r="AV123" i="2"/>
  <c r="E123" i="2"/>
  <c r="A123" i="2"/>
  <c r="F8" i="22"/>
  <c r="G8" i="22"/>
  <c r="H8" i="22"/>
  <c r="I8" i="22"/>
  <c r="J8" i="22"/>
  <c r="K8" i="22"/>
  <c r="L8" i="22"/>
  <c r="M8" i="22"/>
  <c r="N8" i="22"/>
  <c r="CG16" i="2" a="1"/>
  <c r="CG16" i="2"/>
  <c r="F9" i="22"/>
  <c r="G9" i="22"/>
  <c r="H9" i="22"/>
  <c r="I9" i="22"/>
  <c r="J9" i="22"/>
  <c r="K9" i="22"/>
  <c r="L9" i="22"/>
  <c r="M9" i="22"/>
  <c r="N9" i="22"/>
  <c r="CG17" i="2" a="1"/>
  <c r="CG17" i="2"/>
  <c r="F10" i="22"/>
  <c r="G10" i="22"/>
  <c r="H10" i="22"/>
  <c r="I10" i="22"/>
  <c r="J10" i="22"/>
  <c r="K10" i="22"/>
  <c r="L10" i="22"/>
  <c r="M10" i="22"/>
  <c r="N10" i="22"/>
  <c r="CG18" i="2" a="1"/>
  <c r="CG18" i="2"/>
  <c r="F11" i="22"/>
  <c r="G11" i="22"/>
  <c r="H11" i="22"/>
  <c r="I11" i="22"/>
  <c r="J11" i="22"/>
  <c r="K11" i="22"/>
  <c r="L11" i="22"/>
  <c r="M11" i="22"/>
  <c r="N11" i="22"/>
  <c r="CG19" i="2" a="1"/>
  <c r="CG19" i="2"/>
  <c r="F12" i="22"/>
  <c r="G12" i="22"/>
  <c r="H12" i="22"/>
  <c r="I12" i="22"/>
  <c r="J12" i="22"/>
  <c r="K12" i="22"/>
  <c r="L12" i="22"/>
  <c r="M12" i="22"/>
  <c r="N12" i="22"/>
  <c r="CG20" i="2" a="1"/>
  <c r="CG20" i="2"/>
  <c r="F13" i="22"/>
  <c r="G13" i="22"/>
  <c r="H13" i="22"/>
  <c r="I13" i="22"/>
  <c r="J13" i="22"/>
  <c r="K13" i="22"/>
  <c r="L13" i="22"/>
  <c r="M13" i="22"/>
  <c r="N13" i="22"/>
  <c r="CG21" i="2" a="1"/>
  <c r="CG21" i="2"/>
  <c r="F14" i="22"/>
  <c r="G14" i="22"/>
  <c r="H14" i="22"/>
  <c r="I14" i="22"/>
  <c r="J14" i="22"/>
  <c r="K14" i="22"/>
  <c r="L14" i="22"/>
  <c r="M14" i="22"/>
  <c r="N14" i="22"/>
  <c r="CG22" i="2" a="1"/>
  <c r="CG22" i="2"/>
  <c r="F15" i="22"/>
  <c r="G15" i="22"/>
  <c r="H15" i="22"/>
  <c r="I15" i="22"/>
  <c r="J15" i="22"/>
  <c r="K15" i="22"/>
  <c r="L15" i="22"/>
  <c r="M15" i="22"/>
  <c r="N15" i="22"/>
  <c r="CG23" i="2" a="1"/>
  <c r="CG23" i="2"/>
  <c r="F16" i="22"/>
  <c r="G16" i="22"/>
  <c r="H16" i="22"/>
  <c r="I16" i="22"/>
  <c r="J16" i="22"/>
  <c r="K16" i="22"/>
  <c r="L16" i="22"/>
  <c r="M16" i="22"/>
  <c r="N16" i="22"/>
  <c r="CG24" i="2" a="1"/>
  <c r="CG24" i="2"/>
  <c r="F17" i="22"/>
  <c r="G17" i="22"/>
  <c r="H17" i="22"/>
  <c r="I17" i="22"/>
  <c r="J17" i="22"/>
  <c r="K17" i="22"/>
  <c r="L17" i="22"/>
  <c r="M17" i="22"/>
  <c r="N17" i="22"/>
  <c r="CG25" i="2" a="1"/>
  <c r="CG25" i="2"/>
  <c r="F18" i="22"/>
  <c r="G18" i="22"/>
  <c r="H18" i="22"/>
  <c r="I18" i="22"/>
  <c r="J18" i="22"/>
  <c r="K18" i="22"/>
  <c r="L18" i="22"/>
  <c r="M18" i="22"/>
  <c r="N18" i="22"/>
  <c r="CG26" i="2" a="1"/>
  <c r="CG26" i="2"/>
  <c r="F19" i="22"/>
  <c r="G19" i="22"/>
  <c r="H19" i="22"/>
  <c r="I19" i="22"/>
  <c r="J19" i="22"/>
  <c r="K19" i="22"/>
  <c r="L19" i="22"/>
  <c r="M19" i="22"/>
  <c r="N19" i="22"/>
  <c r="CG27" i="2" a="1"/>
  <c r="CG27" i="2"/>
  <c r="F20" i="22"/>
  <c r="G20" i="22"/>
  <c r="H20" i="22"/>
  <c r="I20" i="22"/>
  <c r="J20" i="22"/>
  <c r="K20" i="22"/>
  <c r="L20" i="22"/>
  <c r="M20" i="22"/>
  <c r="N20" i="22"/>
  <c r="CG28" i="2" a="1"/>
  <c r="CG28" i="2"/>
  <c r="F21" i="22"/>
  <c r="G21" i="22"/>
  <c r="H21" i="22"/>
  <c r="I21" i="22"/>
  <c r="J21" i="22"/>
  <c r="K21" i="22"/>
  <c r="L21" i="22"/>
  <c r="M21" i="22"/>
  <c r="N21" i="22"/>
  <c r="CG29" i="2" a="1"/>
  <c r="CG29" i="2"/>
  <c r="F22" i="22"/>
  <c r="G22" i="22"/>
  <c r="H22" i="22"/>
  <c r="I22" i="22"/>
  <c r="J22" i="22"/>
  <c r="K22" i="22"/>
  <c r="L22" i="22"/>
  <c r="M22" i="22"/>
  <c r="N22" i="22"/>
  <c r="CG30" i="2" a="1"/>
  <c r="CG30" i="2"/>
  <c r="F23" i="22"/>
  <c r="G23" i="22"/>
  <c r="H23" i="22"/>
  <c r="I23" i="22"/>
  <c r="J23" i="22"/>
  <c r="K23" i="22"/>
  <c r="L23" i="22"/>
  <c r="M23" i="22"/>
  <c r="N23" i="22"/>
  <c r="CG31" i="2" a="1"/>
  <c r="CG31" i="2"/>
  <c r="F24" i="22"/>
  <c r="G24" i="22"/>
  <c r="H24" i="22"/>
  <c r="I24" i="22"/>
  <c r="J24" i="22"/>
  <c r="K24" i="22"/>
  <c r="L24" i="22"/>
  <c r="M24" i="22"/>
  <c r="N24" i="22"/>
  <c r="CG32" i="2" a="1"/>
  <c r="CG32" i="2"/>
  <c r="F25" i="22"/>
  <c r="G25" i="22"/>
  <c r="H25" i="22"/>
  <c r="I25" i="22"/>
  <c r="J25" i="22"/>
  <c r="K25" i="22"/>
  <c r="L25" i="22"/>
  <c r="M25" i="22"/>
  <c r="N25" i="22"/>
  <c r="CG33" i="2" a="1"/>
  <c r="CG33" i="2"/>
  <c r="F26" i="22"/>
  <c r="G26" i="22"/>
  <c r="H26" i="22"/>
  <c r="I26" i="22"/>
  <c r="J26" i="22"/>
  <c r="K26" i="22"/>
  <c r="L26" i="22"/>
  <c r="M26" i="22"/>
  <c r="N26" i="22"/>
  <c r="CG34" i="2" a="1"/>
  <c r="CG34" i="2"/>
  <c r="F27" i="22"/>
  <c r="G27" i="22"/>
  <c r="H27" i="22"/>
  <c r="I27" i="22"/>
  <c r="J27" i="22"/>
  <c r="K27" i="22"/>
  <c r="L27" i="22"/>
  <c r="M27" i="22"/>
  <c r="N27" i="22"/>
  <c r="CG35" i="2" a="1"/>
  <c r="CG35" i="2"/>
  <c r="F28" i="22"/>
  <c r="G28" i="22"/>
  <c r="H28" i="22"/>
  <c r="I28" i="22"/>
  <c r="J28" i="22"/>
  <c r="K28" i="22"/>
  <c r="L28" i="22"/>
  <c r="M28" i="22"/>
  <c r="N28" i="22"/>
  <c r="CG36" i="2" a="1"/>
  <c r="CG36" i="2"/>
  <c r="F29" i="22"/>
  <c r="G29" i="22"/>
  <c r="H29" i="22"/>
  <c r="I29" i="22"/>
  <c r="J29" i="22"/>
  <c r="K29" i="22"/>
  <c r="L29" i="22"/>
  <c r="M29" i="22"/>
  <c r="N29" i="22"/>
  <c r="CG37" i="2" a="1"/>
  <c r="CG37" i="2"/>
  <c r="F30" i="22"/>
  <c r="G30" i="22"/>
  <c r="H30" i="22"/>
  <c r="I30" i="22"/>
  <c r="J30" i="22"/>
  <c r="K30" i="22"/>
  <c r="L30" i="22"/>
  <c r="M30" i="22"/>
  <c r="N30" i="22"/>
  <c r="CG38" i="2" a="1"/>
  <c r="CG38" i="2"/>
  <c r="F31" i="22"/>
  <c r="G31" i="22"/>
  <c r="H31" i="22"/>
  <c r="I31" i="22"/>
  <c r="J31" i="22"/>
  <c r="K31" i="22"/>
  <c r="L31" i="22"/>
  <c r="M31" i="22"/>
  <c r="N31" i="22"/>
  <c r="CG39" i="2" a="1"/>
  <c r="CG39" i="2"/>
  <c r="F32" i="22"/>
  <c r="G32" i="22"/>
  <c r="H32" i="22"/>
  <c r="I32" i="22"/>
  <c r="J32" i="22"/>
  <c r="K32" i="22"/>
  <c r="L32" i="22"/>
  <c r="M32" i="22"/>
  <c r="N32" i="22"/>
  <c r="CG40" i="2" a="1"/>
  <c r="CG40" i="2"/>
  <c r="F33" i="22"/>
  <c r="G33" i="22"/>
  <c r="H33" i="22"/>
  <c r="I33" i="22"/>
  <c r="J33" i="22"/>
  <c r="K33" i="22"/>
  <c r="L33" i="22"/>
  <c r="M33" i="22"/>
  <c r="N33" i="22"/>
  <c r="CG41" i="2" a="1"/>
  <c r="CG41" i="2"/>
  <c r="F34" i="22"/>
  <c r="G34" i="22"/>
  <c r="H34" i="22"/>
  <c r="I34" i="22"/>
  <c r="J34" i="22"/>
  <c r="K34" i="22"/>
  <c r="L34" i="22"/>
  <c r="M34" i="22"/>
  <c r="N34" i="22"/>
  <c r="CG42" i="2" a="1"/>
  <c r="CG42" i="2"/>
  <c r="F35" i="22"/>
  <c r="G35" i="22"/>
  <c r="H35" i="22"/>
  <c r="I35" i="22"/>
  <c r="J35" i="22"/>
  <c r="K35" i="22"/>
  <c r="L35" i="22"/>
  <c r="M35" i="22"/>
  <c r="N35" i="22"/>
  <c r="CG43" i="2" a="1"/>
  <c r="CG43" i="2"/>
  <c r="F36" i="22"/>
  <c r="G36" i="22"/>
  <c r="H36" i="22"/>
  <c r="I36" i="22"/>
  <c r="J36" i="22"/>
  <c r="K36" i="22"/>
  <c r="L36" i="22"/>
  <c r="M36" i="22"/>
  <c r="N36" i="22"/>
  <c r="CG44" i="2" a="1"/>
  <c r="CG44" i="2"/>
  <c r="F37" i="22"/>
  <c r="G37" i="22"/>
  <c r="H37" i="22"/>
  <c r="I37" i="22"/>
  <c r="J37" i="22"/>
  <c r="K37" i="22"/>
  <c r="L37" i="22"/>
  <c r="M37" i="22"/>
  <c r="N37" i="22"/>
  <c r="CG45" i="2" a="1"/>
  <c r="CG45" i="2"/>
  <c r="F38" i="22"/>
  <c r="G38" i="22"/>
  <c r="H38" i="22"/>
  <c r="I38" i="22"/>
  <c r="J38" i="22"/>
  <c r="K38" i="22"/>
  <c r="L38" i="22"/>
  <c r="M38" i="22"/>
  <c r="N38" i="22"/>
  <c r="CG46" i="2" a="1"/>
  <c r="CG46" i="2"/>
  <c r="F39" i="22"/>
  <c r="G39" i="22"/>
  <c r="H39" i="22"/>
  <c r="I39" i="22"/>
  <c r="J39" i="22"/>
  <c r="K39" i="22"/>
  <c r="L39" i="22"/>
  <c r="M39" i="22"/>
  <c r="N39" i="22"/>
  <c r="CG47" i="2" a="1"/>
  <c r="CG47" i="2"/>
  <c r="F40" i="22"/>
  <c r="G40" i="22"/>
  <c r="H40" i="22"/>
  <c r="I40" i="22"/>
  <c r="J40" i="22"/>
  <c r="K40" i="22"/>
  <c r="L40" i="22"/>
  <c r="M40" i="22"/>
  <c r="N40" i="22"/>
  <c r="CG48" i="2" a="1"/>
  <c r="CG48" i="2"/>
  <c r="F41" i="22"/>
  <c r="G41" i="22"/>
  <c r="H41" i="22"/>
  <c r="I41" i="22"/>
  <c r="J41" i="22"/>
  <c r="K41" i="22"/>
  <c r="L41" i="22"/>
  <c r="M41" i="22"/>
  <c r="N41" i="22"/>
  <c r="CG49" i="2" a="1"/>
  <c r="CG49" i="2"/>
  <c r="F42" i="22"/>
  <c r="G42" i="22"/>
  <c r="H42" i="22"/>
  <c r="I42" i="22"/>
  <c r="J42" i="22"/>
  <c r="K42" i="22"/>
  <c r="L42" i="22"/>
  <c r="M42" i="22"/>
  <c r="N42" i="22"/>
  <c r="CG50" i="2" a="1"/>
  <c r="CG50" i="2"/>
  <c r="F43" i="22"/>
  <c r="G43" i="22"/>
  <c r="H43" i="22"/>
  <c r="I43" i="22"/>
  <c r="J43" i="22"/>
  <c r="K43" i="22"/>
  <c r="L43" i="22"/>
  <c r="M43" i="22"/>
  <c r="N43" i="22"/>
  <c r="CG51" i="2" a="1"/>
  <c r="CG51" i="2"/>
  <c r="F44" i="22"/>
  <c r="G44" i="22"/>
  <c r="H44" i="22"/>
  <c r="I44" i="22"/>
  <c r="J44" i="22"/>
  <c r="K44" i="22"/>
  <c r="L44" i="22"/>
  <c r="M44" i="22"/>
  <c r="N44" i="22"/>
  <c r="CG52" i="2" a="1"/>
  <c r="CG52" i="2"/>
  <c r="F45" i="22"/>
  <c r="G45" i="22"/>
  <c r="H45" i="22"/>
  <c r="I45" i="22"/>
  <c r="J45" i="22"/>
  <c r="K45" i="22"/>
  <c r="L45" i="22"/>
  <c r="M45" i="22"/>
  <c r="N45" i="22"/>
  <c r="CG53" i="2" a="1"/>
  <c r="CG53" i="2"/>
  <c r="F46" i="22"/>
  <c r="G46" i="22"/>
  <c r="H46" i="22"/>
  <c r="I46" i="22"/>
  <c r="J46" i="22"/>
  <c r="K46" i="22"/>
  <c r="L46" i="22"/>
  <c r="M46" i="22"/>
  <c r="N46" i="22"/>
  <c r="CG54" i="2" a="1"/>
  <c r="CG54" i="2"/>
  <c r="F47" i="22"/>
  <c r="G47" i="22"/>
  <c r="H47" i="22"/>
  <c r="I47" i="22"/>
  <c r="J47" i="22"/>
  <c r="K47" i="22"/>
  <c r="L47" i="22"/>
  <c r="M47" i="22"/>
  <c r="N47" i="22"/>
  <c r="CG55" i="2" a="1"/>
  <c r="CG55" i="2"/>
  <c r="F48" i="22"/>
  <c r="G48" i="22"/>
  <c r="H48" i="22"/>
  <c r="I48" i="22"/>
  <c r="J48" i="22"/>
  <c r="K48" i="22"/>
  <c r="L48" i="22"/>
  <c r="M48" i="22"/>
  <c r="N48" i="22"/>
  <c r="CG56" i="2" a="1"/>
  <c r="CG56" i="2"/>
  <c r="F49" i="22"/>
  <c r="G49" i="22"/>
  <c r="H49" i="22"/>
  <c r="I49" i="22"/>
  <c r="J49" i="22"/>
  <c r="K49" i="22"/>
  <c r="L49" i="22"/>
  <c r="M49" i="22"/>
  <c r="N49" i="22"/>
  <c r="CG57" i="2" a="1"/>
  <c r="CG57" i="2"/>
  <c r="F50" i="22"/>
  <c r="G50" i="22"/>
  <c r="H50" i="22"/>
  <c r="I50" i="22"/>
  <c r="J50" i="22"/>
  <c r="K50" i="22"/>
  <c r="L50" i="22"/>
  <c r="M50" i="22"/>
  <c r="N50" i="22"/>
  <c r="CG58" i="2" a="1"/>
  <c r="CG58" i="2"/>
  <c r="F51" i="22"/>
  <c r="G51" i="22"/>
  <c r="H51" i="22"/>
  <c r="I51" i="22"/>
  <c r="J51" i="22"/>
  <c r="K51" i="22"/>
  <c r="L51" i="22"/>
  <c r="M51" i="22"/>
  <c r="N51" i="22"/>
  <c r="CG59" i="2" a="1"/>
  <c r="CG59" i="2"/>
  <c r="F52" i="22"/>
  <c r="G52" i="22"/>
  <c r="H52" i="22"/>
  <c r="I52" i="22"/>
  <c r="J52" i="22"/>
  <c r="K52" i="22"/>
  <c r="L52" i="22"/>
  <c r="M52" i="22"/>
  <c r="N52" i="22"/>
  <c r="CG60" i="2" a="1"/>
  <c r="CG60" i="2"/>
  <c r="F53" i="22"/>
  <c r="G53" i="22"/>
  <c r="H53" i="22"/>
  <c r="I53" i="22"/>
  <c r="J53" i="22"/>
  <c r="K53" i="22"/>
  <c r="L53" i="22"/>
  <c r="M53" i="22"/>
  <c r="N53" i="22"/>
  <c r="CG61" i="2" a="1"/>
  <c r="CG61" i="2"/>
  <c r="F54" i="22"/>
  <c r="G54" i="22"/>
  <c r="H54" i="22"/>
  <c r="I54" i="22"/>
  <c r="J54" i="22"/>
  <c r="K54" i="22"/>
  <c r="L54" i="22"/>
  <c r="M54" i="22"/>
  <c r="N54" i="22"/>
  <c r="CG62" i="2" a="1"/>
  <c r="CG62" i="2"/>
  <c r="F55" i="22"/>
  <c r="G55" i="22"/>
  <c r="H55" i="22"/>
  <c r="I55" i="22"/>
  <c r="J55" i="22"/>
  <c r="K55" i="22"/>
  <c r="L55" i="22"/>
  <c r="M55" i="22"/>
  <c r="N55" i="22"/>
  <c r="CG63" i="2" a="1"/>
  <c r="CG63" i="2"/>
  <c r="F56" i="22"/>
  <c r="G56" i="22"/>
  <c r="H56" i="22"/>
  <c r="I56" i="22"/>
  <c r="J56" i="22"/>
  <c r="K56" i="22"/>
  <c r="L56" i="22"/>
  <c r="M56" i="22"/>
  <c r="N56" i="22"/>
  <c r="CG64" i="2" a="1"/>
  <c r="CG64" i="2"/>
  <c r="F57" i="22"/>
  <c r="G57" i="22"/>
  <c r="H57" i="22"/>
  <c r="I57" i="22"/>
  <c r="J57" i="22"/>
  <c r="K57" i="22"/>
  <c r="L57" i="22"/>
  <c r="M57" i="22"/>
  <c r="N57" i="22"/>
  <c r="CG65" i="2" a="1"/>
  <c r="CG65" i="2"/>
  <c r="F58" i="22"/>
  <c r="G58" i="22"/>
  <c r="H58" i="22"/>
  <c r="I58" i="22"/>
  <c r="J58" i="22"/>
  <c r="K58" i="22"/>
  <c r="L58" i="22"/>
  <c r="M58" i="22"/>
  <c r="N58" i="22"/>
  <c r="CG66" i="2" a="1"/>
  <c r="CG66" i="2"/>
  <c r="F59" i="22"/>
  <c r="G59" i="22"/>
  <c r="H59" i="22"/>
  <c r="I59" i="22"/>
  <c r="J59" i="22"/>
  <c r="K59" i="22"/>
  <c r="L59" i="22"/>
  <c r="M59" i="22"/>
  <c r="N59" i="22"/>
  <c r="CG67" i="2" a="1"/>
  <c r="CG67" i="2"/>
  <c r="F60" i="22"/>
  <c r="G60" i="22"/>
  <c r="H60" i="22"/>
  <c r="I60" i="22"/>
  <c r="J60" i="22"/>
  <c r="K60" i="22"/>
  <c r="L60" i="22"/>
  <c r="M60" i="22"/>
  <c r="N60" i="22"/>
  <c r="CG68" i="2" a="1"/>
  <c r="CG68" i="2"/>
  <c r="F61" i="22"/>
  <c r="G61" i="22"/>
  <c r="H61" i="22"/>
  <c r="I61" i="22"/>
  <c r="J61" i="22"/>
  <c r="K61" i="22"/>
  <c r="L61" i="22"/>
  <c r="M61" i="22"/>
  <c r="N61" i="22"/>
  <c r="CG69" i="2" a="1"/>
  <c r="CG69" i="2"/>
  <c r="F62" i="22"/>
  <c r="G62" i="22"/>
  <c r="H62" i="22"/>
  <c r="I62" i="22"/>
  <c r="J62" i="22"/>
  <c r="K62" i="22"/>
  <c r="L62" i="22"/>
  <c r="M62" i="22"/>
  <c r="N62" i="22"/>
  <c r="CG70" i="2" a="1"/>
  <c r="CG70" i="2"/>
  <c r="F63" i="22"/>
  <c r="G63" i="22"/>
  <c r="H63" i="22"/>
  <c r="I63" i="22"/>
  <c r="J63" i="22"/>
  <c r="K63" i="22"/>
  <c r="L63" i="22"/>
  <c r="M63" i="22"/>
  <c r="N63" i="22"/>
  <c r="CG71" i="2" a="1"/>
  <c r="CG71" i="2"/>
  <c r="F64" i="22"/>
  <c r="G64" i="22"/>
  <c r="H64" i="22"/>
  <c r="I64" i="22"/>
  <c r="J64" i="22"/>
  <c r="K64" i="22"/>
  <c r="L64" i="22"/>
  <c r="M64" i="22"/>
  <c r="N64" i="22"/>
  <c r="CG72" i="2" a="1"/>
  <c r="CG72" i="2"/>
  <c r="F65" i="22"/>
  <c r="G65" i="22"/>
  <c r="H65" i="22"/>
  <c r="I65" i="22"/>
  <c r="J65" i="22"/>
  <c r="K65" i="22"/>
  <c r="L65" i="22"/>
  <c r="M65" i="22"/>
  <c r="N65" i="22"/>
  <c r="CG73" i="2" a="1"/>
  <c r="CG73" i="2"/>
  <c r="F66" i="22"/>
  <c r="G66" i="22"/>
  <c r="H66" i="22"/>
  <c r="I66" i="22"/>
  <c r="J66" i="22"/>
  <c r="K66" i="22"/>
  <c r="L66" i="22"/>
  <c r="M66" i="22"/>
  <c r="N66" i="22"/>
  <c r="CG74" i="2" a="1"/>
  <c r="CG74" i="2"/>
  <c r="F67" i="22"/>
  <c r="G67" i="22"/>
  <c r="H67" i="22"/>
  <c r="I67" i="22"/>
  <c r="J67" i="22"/>
  <c r="K67" i="22"/>
  <c r="L67" i="22"/>
  <c r="M67" i="22"/>
  <c r="N67" i="22"/>
  <c r="CG75" i="2" a="1"/>
  <c r="CG75" i="2"/>
  <c r="F68" i="22"/>
  <c r="G68" i="22"/>
  <c r="H68" i="22"/>
  <c r="I68" i="22"/>
  <c r="J68" i="22"/>
  <c r="K68" i="22"/>
  <c r="L68" i="22"/>
  <c r="M68" i="22"/>
  <c r="N68" i="22"/>
  <c r="CG76" i="2" a="1"/>
  <c r="CG76" i="2"/>
  <c r="F69" i="22"/>
  <c r="G69" i="22"/>
  <c r="H69" i="22"/>
  <c r="I69" i="22"/>
  <c r="J69" i="22"/>
  <c r="K69" i="22"/>
  <c r="L69" i="22"/>
  <c r="M69" i="22"/>
  <c r="N69" i="22"/>
  <c r="CG77" i="2" a="1"/>
  <c r="CG77" i="2"/>
  <c r="F70" i="22"/>
  <c r="G70" i="22"/>
  <c r="H70" i="22"/>
  <c r="I70" i="22"/>
  <c r="J70" i="22"/>
  <c r="K70" i="22"/>
  <c r="L70" i="22"/>
  <c r="M70" i="22"/>
  <c r="N70" i="22"/>
  <c r="CG78" i="2" a="1"/>
  <c r="CG78" i="2"/>
  <c r="F71" i="22"/>
  <c r="G71" i="22"/>
  <c r="H71" i="22"/>
  <c r="I71" i="22"/>
  <c r="J71" i="22"/>
  <c r="K71" i="22"/>
  <c r="L71" i="22"/>
  <c r="M71" i="22"/>
  <c r="N71" i="22"/>
  <c r="CG79" i="2" a="1"/>
  <c r="CG79" i="2"/>
  <c r="F72" i="22"/>
  <c r="G72" i="22"/>
  <c r="H72" i="22"/>
  <c r="I72" i="22"/>
  <c r="J72" i="22"/>
  <c r="K72" i="22"/>
  <c r="L72" i="22"/>
  <c r="M72" i="22"/>
  <c r="N72" i="22"/>
  <c r="CG80" i="2" a="1"/>
  <c r="CG80" i="2"/>
  <c r="F73" i="22"/>
  <c r="G73" i="22"/>
  <c r="H73" i="22"/>
  <c r="I73" i="22"/>
  <c r="J73" i="22"/>
  <c r="K73" i="22"/>
  <c r="L73" i="22"/>
  <c r="M73" i="22"/>
  <c r="N73" i="22"/>
  <c r="CG81" i="2" a="1"/>
  <c r="CG81" i="2"/>
  <c r="F74" i="22"/>
  <c r="G74" i="22"/>
  <c r="H74" i="22"/>
  <c r="I74" i="22"/>
  <c r="J74" i="22"/>
  <c r="K74" i="22"/>
  <c r="L74" i="22"/>
  <c r="M74" i="22"/>
  <c r="N74" i="22"/>
  <c r="CG82" i="2" a="1"/>
  <c r="CG82" i="2"/>
  <c r="F75" i="22"/>
  <c r="G75" i="22"/>
  <c r="H75" i="22"/>
  <c r="I75" i="22"/>
  <c r="J75" i="22"/>
  <c r="K75" i="22"/>
  <c r="L75" i="22"/>
  <c r="M75" i="22"/>
  <c r="N75" i="22"/>
  <c r="CG83" i="2" a="1"/>
  <c r="CG83" i="2"/>
  <c r="F76" i="22"/>
  <c r="G76" i="22"/>
  <c r="H76" i="22"/>
  <c r="I76" i="22"/>
  <c r="J76" i="22"/>
  <c r="K76" i="22"/>
  <c r="L76" i="22"/>
  <c r="M76" i="22"/>
  <c r="N76" i="22"/>
  <c r="CG84" i="2" a="1"/>
  <c r="CG84" i="2"/>
  <c r="F77" i="22"/>
  <c r="G77" i="22"/>
  <c r="H77" i="22"/>
  <c r="I77" i="22"/>
  <c r="J77" i="22"/>
  <c r="K77" i="22"/>
  <c r="L77" i="22"/>
  <c r="M77" i="22"/>
  <c r="N77" i="22"/>
  <c r="CG85" i="2" a="1"/>
  <c r="CG85" i="2"/>
  <c r="F78" i="22"/>
  <c r="G78" i="22"/>
  <c r="H78" i="22"/>
  <c r="I78" i="22"/>
  <c r="J78" i="22"/>
  <c r="K78" i="22"/>
  <c r="L78" i="22"/>
  <c r="M78" i="22"/>
  <c r="N78" i="22"/>
  <c r="CG86" i="2" a="1"/>
  <c r="CG86" i="2"/>
  <c r="F79" i="22"/>
  <c r="G79" i="22"/>
  <c r="H79" i="22"/>
  <c r="I79" i="22"/>
  <c r="J79" i="22"/>
  <c r="K79" i="22"/>
  <c r="L79" i="22"/>
  <c r="M79" i="22"/>
  <c r="N79" i="22"/>
  <c r="CG87" i="2" a="1"/>
  <c r="CG87" i="2"/>
  <c r="F80" i="22"/>
  <c r="G80" i="22"/>
  <c r="H80" i="22"/>
  <c r="I80" i="22"/>
  <c r="J80" i="22"/>
  <c r="K80" i="22"/>
  <c r="L80" i="22"/>
  <c r="M80" i="22"/>
  <c r="N80" i="22"/>
  <c r="CG88" i="2" a="1"/>
  <c r="CG88" i="2"/>
  <c r="F81" i="22"/>
  <c r="G81" i="22"/>
  <c r="H81" i="22"/>
  <c r="I81" i="22"/>
  <c r="J81" i="22"/>
  <c r="K81" i="22"/>
  <c r="L81" i="22"/>
  <c r="M81" i="22"/>
  <c r="N81" i="22"/>
  <c r="CG89" i="2" a="1"/>
  <c r="CG89" i="2"/>
  <c r="F82" i="22"/>
  <c r="G82" i="22"/>
  <c r="H82" i="22"/>
  <c r="I82" i="22"/>
  <c r="J82" i="22"/>
  <c r="K82" i="22"/>
  <c r="L82" i="22"/>
  <c r="M82" i="22"/>
  <c r="N82" i="22"/>
  <c r="CG90" i="2" a="1"/>
  <c r="CG90" i="2"/>
  <c r="F83" i="22"/>
  <c r="G83" i="22"/>
  <c r="H83" i="22"/>
  <c r="I83" i="22"/>
  <c r="J83" i="22"/>
  <c r="K83" i="22"/>
  <c r="L83" i="22"/>
  <c r="M83" i="22"/>
  <c r="N83" i="22"/>
  <c r="CG91" i="2" a="1"/>
  <c r="CG91" i="2"/>
  <c r="F84" i="22"/>
  <c r="G84" i="22"/>
  <c r="H84" i="22"/>
  <c r="I84" i="22"/>
  <c r="J84" i="22"/>
  <c r="K84" i="22"/>
  <c r="L84" i="22"/>
  <c r="M84" i="22"/>
  <c r="N84" i="22"/>
  <c r="CG92" i="2" a="1"/>
  <c r="CG92" i="2"/>
  <c r="F85" i="22"/>
  <c r="G85" i="22"/>
  <c r="H85" i="22"/>
  <c r="I85" i="22"/>
  <c r="J85" i="22"/>
  <c r="K85" i="22"/>
  <c r="L85" i="22"/>
  <c r="M85" i="22"/>
  <c r="N85" i="22"/>
  <c r="CG93" i="2" a="1"/>
  <c r="CG93" i="2"/>
  <c r="F86" i="22"/>
  <c r="G86" i="22"/>
  <c r="H86" i="22"/>
  <c r="I86" i="22"/>
  <c r="J86" i="22"/>
  <c r="K86" i="22"/>
  <c r="L86" i="22"/>
  <c r="M86" i="22"/>
  <c r="N86" i="22"/>
  <c r="CG94" i="2" a="1"/>
  <c r="CG94" i="2"/>
  <c r="F87" i="22"/>
  <c r="G87" i="22"/>
  <c r="H87" i="22"/>
  <c r="I87" i="22"/>
  <c r="J87" i="22"/>
  <c r="K87" i="22"/>
  <c r="L87" i="22"/>
  <c r="M87" i="22"/>
  <c r="N87" i="22"/>
  <c r="CG95" i="2" a="1"/>
  <c r="CG95" i="2"/>
  <c r="F88" i="22"/>
  <c r="G88" i="22"/>
  <c r="H88" i="22"/>
  <c r="I88" i="22"/>
  <c r="J88" i="22"/>
  <c r="K88" i="22"/>
  <c r="L88" i="22"/>
  <c r="M88" i="22"/>
  <c r="N88" i="22"/>
  <c r="CG96" i="2" a="1"/>
  <c r="CG96" i="2"/>
  <c r="F89" i="22"/>
  <c r="G89" i="22"/>
  <c r="H89" i="22"/>
  <c r="I89" i="22"/>
  <c r="J89" i="22"/>
  <c r="K89" i="22"/>
  <c r="L89" i="22"/>
  <c r="M89" i="22"/>
  <c r="N89" i="22"/>
  <c r="CG97" i="2" a="1"/>
  <c r="CG97" i="2"/>
  <c r="F90" i="22"/>
  <c r="G90" i="22"/>
  <c r="H90" i="22"/>
  <c r="I90" i="22"/>
  <c r="J90" i="22"/>
  <c r="K90" i="22"/>
  <c r="L90" i="22"/>
  <c r="M90" i="22"/>
  <c r="N90" i="22"/>
  <c r="CG98" i="2" a="1"/>
  <c r="CG98" i="2"/>
  <c r="F91" i="22"/>
  <c r="G91" i="22"/>
  <c r="H91" i="22"/>
  <c r="I91" i="22"/>
  <c r="J91" i="22"/>
  <c r="K91" i="22"/>
  <c r="L91" i="22"/>
  <c r="M91" i="22"/>
  <c r="N91" i="22"/>
  <c r="CG99" i="2" a="1"/>
  <c r="CG99" i="2"/>
  <c r="F92" i="22"/>
  <c r="G92" i="22"/>
  <c r="H92" i="22"/>
  <c r="I92" i="22"/>
  <c r="J92" i="22"/>
  <c r="K92" i="22"/>
  <c r="L92" i="22"/>
  <c r="M92" i="22"/>
  <c r="N92" i="22"/>
  <c r="CG100" i="2" a="1"/>
  <c r="CG100" i="2"/>
  <c r="F93" i="22"/>
  <c r="G93" i="22"/>
  <c r="H93" i="22"/>
  <c r="I93" i="22"/>
  <c r="J93" i="22"/>
  <c r="K93" i="22"/>
  <c r="L93" i="22"/>
  <c r="M93" i="22"/>
  <c r="N93" i="22"/>
  <c r="CG101" i="2" a="1"/>
  <c r="CG101" i="2"/>
  <c r="F94" i="22"/>
  <c r="G94" i="22"/>
  <c r="H94" i="22"/>
  <c r="I94" i="22"/>
  <c r="J94" i="22"/>
  <c r="K94" i="22"/>
  <c r="L94" i="22"/>
  <c r="M94" i="22"/>
  <c r="N94" i="22"/>
  <c r="CG102" i="2" a="1"/>
  <c r="CG102" i="2"/>
  <c r="F95" i="22"/>
  <c r="G95" i="22"/>
  <c r="H95" i="22"/>
  <c r="I95" i="22"/>
  <c r="J95" i="22"/>
  <c r="K95" i="22"/>
  <c r="L95" i="22"/>
  <c r="M95" i="22"/>
  <c r="N95" i="22"/>
  <c r="CG103" i="2" a="1"/>
  <c r="CG103" i="2"/>
  <c r="F96" i="22"/>
  <c r="G96" i="22"/>
  <c r="H96" i="22"/>
  <c r="I96" i="22"/>
  <c r="J96" i="22"/>
  <c r="K96" i="22"/>
  <c r="L96" i="22"/>
  <c r="M96" i="22"/>
  <c r="N96" i="22"/>
  <c r="CG104" i="2" a="1"/>
  <c r="CG104" i="2"/>
  <c r="F97" i="22"/>
  <c r="G97" i="22"/>
  <c r="H97" i="22"/>
  <c r="I97" i="22"/>
  <c r="J97" i="22"/>
  <c r="K97" i="22"/>
  <c r="L97" i="22"/>
  <c r="M97" i="22"/>
  <c r="N97" i="22"/>
  <c r="CG105" i="2" a="1"/>
  <c r="CG105" i="2"/>
  <c r="F98" i="22"/>
  <c r="G98" i="22"/>
  <c r="H98" i="22"/>
  <c r="I98" i="22"/>
  <c r="J98" i="22"/>
  <c r="K98" i="22"/>
  <c r="L98" i="22"/>
  <c r="M98" i="22"/>
  <c r="N98" i="22"/>
  <c r="CG106" i="2" a="1"/>
  <c r="CG106" i="2"/>
  <c r="F99" i="22"/>
  <c r="G99" i="22"/>
  <c r="H99" i="22"/>
  <c r="I99" i="22"/>
  <c r="J99" i="22"/>
  <c r="K99" i="22"/>
  <c r="L99" i="22"/>
  <c r="M99" i="22"/>
  <c r="N99" i="22"/>
  <c r="CG107" i="2" a="1"/>
  <c r="CG107" i="2"/>
  <c r="F100" i="22"/>
  <c r="G100" i="22"/>
  <c r="H100" i="22"/>
  <c r="I100" i="22"/>
  <c r="J100" i="22"/>
  <c r="K100" i="22"/>
  <c r="L100" i="22"/>
  <c r="M100" i="22"/>
  <c r="N100" i="22"/>
  <c r="CG108" i="2" a="1"/>
  <c r="CG108" i="2"/>
  <c r="F101" i="22"/>
  <c r="G101" i="22"/>
  <c r="H101" i="22"/>
  <c r="I101" i="22"/>
  <c r="J101" i="22"/>
  <c r="K101" i="22"/>
  <c r="L101" i="22"/>
  <c r="M101" i="22"/>
  <c r="N101" i="22"/>
  <c r="CG109" i="2" a="1"/>
  <c r="CG109" i="2"/>
  <c r="F102" i="22"/>
  <c r="G102" i="22"/>
  <c r="H102" i="22"/>
  <c r="I102" i="22"/>
  <c r="J102" i="22"/>
  <c r="K102" i="22"/>
  <c r="L102" i="22"/>
  <c r="M102" i="22"/>
  <c r="N102" i="22"/>
  <c r="CG110" i="2" a="1"/>
  <c r="CG110" i="2"/>
  <c r="F103" i="22"/>
  <c r="G103" i="22"/>
  <c r="H103" i="22"/>
  <c r="I103" i="22"/>
  <c r="J103" i="22"/>
  <c r="K103" i="22"/>
  <c r="L103" i="22"/>
  <c r="M103" i="22"/>
  <c r="N103" i="22"/>
  <c r="CG111" i="2" a="1"/>
  <c r="CG111" i="2"/>
  <c r="F104" i="22"/>
  <c r="G104" i="22"/>
  <c r="H104" i="22"/>
  <c r="I104" i="22"/>
  <c r="J104" i="22"/>
  <c r="K104" i="22"/>
  <c r="L104" i="22"/>
  <c r="M104" i="22"/>
  <c r="N104" i="22"/>
  <c r="CG112" i="2" a="1"/>
  <c r="CG112" i="2"/>
  <c r="F105" i="22"/>
  <c r="G105" i="22"/>
  <c r="H105" i="22"/>
  <c r="I105" i="22"/>
  <c r="J105" i="22"/>
  <c r="K105" i="22"/>
  <c r="L105" i="22"/>
  <c r="M105" i="22"/>
  <c r="N105" i="22"/>
  <c r="CG113" i="2" a="1"/>
  <c r="CG113" i="2"/>
  <c r="F106" i="22"/>
  <c r="G106" i="22"/>
  <c r="H106" i="22"/>
  <c r="I106" i="22"/>
  <c r="J106" i="22"/>
  <c r="K106" i="22"/>
  <c r="L106" i="22"/>
  <c r="M106" i="22"/>
  <c r="N106" i="22"/>
  <c r="CG114" i="2" a="1"/>
  <c r="CG114" i="2"/>
  <c r="F107" i="22"/>
  <c r="G107" i="22"/>
  <c r="H107" i="22"/>
  <c r="I107" i="22"/>
  <c r="J107" i="22"/>
  <c r="K107" i="22"/>
  <c r="L107" i="22"/>
  <c r="M107" i="22"/>
  <c r="N107" i="22"/>
  <c r="CG115" i="2" a="1"/>
  <c r="CG115" i="2"/>
  <c r="F108" i="22"/>
  <c r="G108" i="22"/>
  <c r="H108" i="22"/>
  <c r="I108" i="22"/>
  <c r="J108" i="22"/>
  <c r="K108" i="22"/>
  <c r="L108" i="22"/>
  <c r="M108" i="22"/>
  <c r="N108" i="22"/>
  <c r="CG116" i="2" a="1"/>
  <c r="CG116" i="2"/>
  <c r="F109" i="22"/>
  <c r="G109" i="22"/>
  <c r="H109" i="22"/>
  <c r="I109" i="22"/>
  <c r="J109" i="22"/>
  <c r="K109" i="22"/>
  <c r="L109" i="22"/>
  <c r="M109" i="22"/>
  <c r="N109" i="22"/>
  <c r="CG117" i="2" a="1"/>
  <c r="CG117" i="2"/>
  <c r="F110" i="22"/>
  <c r="G110" i="22"/>
  <c r="H110" i="22"/>
  <c r="I110" i="22"/>
  <c r="J110" i="22"/>
  <c r="K110" i="22"/>
  <c r="L110" i="22"/>
  <c r="M110" i="22"/>
  <c r="N110" i="22"/>
  <c r="CG118" i="2" a="1"/>
  <c r="CG118" i="2"/>
  <c r="F111" i="22"/>
  <c r="G111" i="22"/>
  <c r="H111" i="22"/>
  <c r="I111" i="22"/>
  <c r="J111" i="22"/>
  <c r="K111" i="22"/>
  <c r="L111" i="22"/>
  <c r="M111" i="22"/>
  <c r="N111" i="22"/>
  <c r="CG119" i="2" a="1"/>
  <c r="CG119" i="2"/>
  <c r="F112" i="22"/>
  <c r="G112" i="22"/>
  <c r="H112" i="22"/>
  <c r="I112" i="22"/>
  <c r="J112" i="22"/>
  <c r="K112" i="22"/>
  <c r="L112" i="22"/>
  <c r="M112" i="22"/>
  <c r="N112" i="22"/>
  <c r="CG120" i="2" a="1"/>
  <c r="CG120" i="2"/>
  <c r="F113" i="22"/>
  <c r="G113" i="22"/>
  <c r="H113" i="22"/>
  <c r="I113" i="22"/>
  <c r="J113" i="22"/>
  <c r="K113" i="22"/>
  <c r="L113" i="22"/>
  <c r="M113" i="22"/>
  <c r="N113" i="22"/>
  <c r="CG121" i="2" a="1"/>
  <c r="CG121" i="2"/>
  <c r="F114" i="22"/>
  <c r="G114" i="22"/>
  <c r="H114" i="22"/>
  <c r="I114" i="22"/>
  <c r="J114" i="22"/>
  <c r="K114" i="22"/>
  <c r="L114" i="22"/>
  <c r="M114" i="22"/>
  <c r="N114" i="22"/>
  <c r="CG122" i="2" a="1"/>
  <c r="CG122" i="2"/>
  <c r="F115" i="22"/>
  <c r="G115" i="22"/>
  <c r="H115" i="22"/>
  <c r="I115" i="22"/>
  <c r="J115" i="22"/>
  <c r="K115" i="22"/>
  <c r="L115" i="22"/>
  <c r="M115" i="22"/>
  <c r="N115" i="22"/>
  <c r="CG123" i="2" a="1"/>
  <c r="CG123" i="2"/>
  <c r="F116" i="22"/>
  <c r="G116" i="22"/>
  <c r="H116" i="22"/>
  <c r="I116" i="22"/>
  <c r="J116" i="22"/>
  <c r="K116" i="22"/>
  <c r="L116" i="22"/>
  <c r="M116" i="22"/>
  <c r="N116" i="22"/>
  <c r="CG14" i="2" a="1"/>
  <c r="CG14" i="2"/>
  <c r="I7" i="22"/>
  <c r="J7" i="22"/>
  <c r="N7" i="22"/>
  <c r="M7" i="22"/>
  <c r="L7" i="22"/>
  <c r="K7" i="22"/>
  <c r="H7" i="22"/>
  <c r="G7" i="22"/>
  <c r="F7" i="22"/>
  <c r="F5" i="22"/>
  <c r="G5" i="22"/>
  <c r="H5" i="22"/>
  <c r="I5" i="22"/>
  <c r="J5" i="22"/>
  <c r="K5" i="22"/>
  <c r="L5" i="22"/>
  <c r="M5" i="22"/>
  <c r="N5" i="22"/>
  <c r="C14" i="14"/>
  <c r="D14" i="14"/>
  <c r="E14" i="14"/>
  <c r="F14" i="14"/>
  <c r="G14" i="14"/>
  <c r="H14" i="14"/>
  <c r="I14" i="14"/>
  <c r="J14" i="14"/>
  <c r="K14" i="14"/>
  <c r="C34" i="14"/>
  <c r="D34" i="14"/>
  <c r="E34" i="14"/>
  <c r="F34" i="14"/>
  <c r="G34" i="14"/>
  <c r="H34" i="14"/>
  <c r="I34" i="14"/>
  <c r="J34" i="14"/>
  <c r="K34" i="14"/>
  <c r="C26" i="14"/>
  <c r="D26" i="14"/>
  <c r="E26" i="14"/>
  <c r="F26" i="14"/>
  <c r="G26" i="14"/>
  <c r="H26" i="14"/>
  <c r="I26" i="14"/>
  <c r="J26" i="14"/>
  <c r="K26" i="14"/>
  <c r="C62" i="14"/>
  <c r="D62" i="14"/>
  <c r="E62" i="14"/>
  <c r="F62" i="14"/>
  <c r="G62" i="14"/>
  <c r="H62" i="14"/>
  <c r="I62" i="14"/>
  <c r="J62" i="14"/>
  <c r="K62" i="14"/>
  <c r="C58" i="14"/>
  <c r="D58" i="14"/>
  <c r="E58" i="14"/>
  <c r="F58" i="14"/>
  <c r="G58" i="14"/>
  <c r="H58" i="14"/>
  <c r="I58" i="14"/>
  <c r="J58" i="14"/>
  <c r="K58" i="14"/>
  <c r="L58" i="14"/>
  <c r="C50" i="14"/>
  <c r="D50" i="14"/>
  <c r="E50" i="14"/>
  <c r="F50" i="14"/>
  <c r="G50" i="14"/>
  <c r="H50" i="14"/>
  <c r="I50" i="14"/>
  <c r="J50" i="14"/>
  <c r="K50" i="14"/>
  <c r="L50" i="14"/>
  <c r="C11" i="12"/>
  <c r="D11" i="12"/>
  <c r="E11" i="12"/>
  <c r="F11" i="12"/>
  <c r="G11" i="12"/>
  <c r="H11" i="12"/>
  <c r="I11" i="12"/>
  <c r="J11" i="12"/>
  <c r="K11" i="12"/>
  <c r="BG11" i="2"/>
  <c r="BF11" i="2"/>
  <c r="AF12" i="2"/>
  <c r="AG12" i="2"/>
  <c r="AH12" i="2"/>
  <c r="AI12" i="2"/>
  <c r="AJ12" i="2"/>
  <c r="AK12" i="2"/>
  <c r="AL12" i="2"/>
  <c r="AM12" i="2"/>
  <c r="AN12" i="2"/>
  <c r="O3" i="4"/>
  <c r="O4" i="4"/>
  <c r="O5" i="4"/>
  <c r="O6" i="4"/>
  <c r="O7" i="4"/>
  <c r="O8" i="4"/>
  <c r="M4" i="4"/>
  <c r="M5" i="4"/>
  <c r="M6" i="4"/>
  <c r="M7" i="4"/>
  <c r="M8" i="4"/>
  <c r="M9" i="4"/>
  <c r="M10" i="4"/>
  <c r="AM10" i="4"/>
  <c r="AL10" i="4"/>
  <c r="AK10" i="4"/>
  <c r="AK19" i="4"/>
  <c r="AM9" i="4"/>
  <c r="AL9" i="4"/>
  <c r="AK9" i="4"/>
  <c r="AK18" i="4"/>
  <c r="AM7" i="4"/>
  <c r="AL7" i="4"/>
  <c r="AK7" i="4"/>
  <c r="AK17" i="4"/>
  <c r="AM6" i="4"/>
  <c r="AL6" i="4"/>
  <c r="AK6" i="4"/>
  <c r="AK16" i="4"/>
  <c r="AM4" i="4"/>
  <c r="AL4" i="4"/>
  <c r="AK4" i="4"/>
  <c r="AK15" i="4"/>
  <c r="AM3" i="4"/>
  <c r="AL3" i="4"/>
  <c r="AK3" i="4"/>
  <c r="AK14" i="4"/>
  <c r="AX14" i="2"/>
  <c r="AX15" i="2"/>
  <c r="AX16" i="2"/>
  <c r="AX17" i="2"/>
  <c r="AX18" i="2"/>
  <c r="AX19" i="2"/>
  <c r="AX20" i="2"/>
  <c r="AX21" i="2"/>
  <c r="AX22" i="2"/>
  <c r="AX23" i="2"/>
  <c r="AX24" i="2"/>
  <c r="AX25" i="2"/>
  <c r="AX26" i="2"/>
  <c r="AX27" i="2"/>
  <c r="AX28" i="2"/>
  <c r="AX29" i="2"/>
  <c r="AX30" i="2"/>
  <c r="AX31" i="2"/>
  <c r="AX32" i="2"/>
  <c r="AX33" i="2"/>
  <c r="AX34" i="2"/>
  <c r="AX35" i="2"/>
  <c r="AX36" i="2"/>
  <c r="AX37" i="2"/>
  <c r="AX38" i="2"/>
  <c r="AX39" i="2"/>
  <c r="AX40" i="2"/>
  <c r="AX41" i="2"/>
  <c r="AX42" i="2"/>
  <c r="AX43" i="2"/>
  <c r="AX44" i="2"/>
  <c r="AX45" i="2"/>
  <c r="AX46" i="2"/>
  <c r="AX47" i="2"/>
  <c r="AX48" i="2"/>
  <c r="AX49" i="2"/>
  <c r="AX50" i="2"/>
  <c r="AX51" i="2"/>
  <c r="AX52" i="2"/>
  <c r="AX53" i="2"/>
  <c r="AX54" i="2"/>
  <c r="AX55" i="2"/>
  <c r="AX56" i="2"/>
  <c r="AX57" i="2"/>
  <c r="AX58" i="2"/>
  <c r="AX59" i="2"/>
  <c r="AX60" i="2"/>
  <c r="AX61" i="2"/>
  <c r="AX62" i="2"/>
  <c r="AX63" i="2"/>
  <c r="AX64" i="2"/>
  <c r="AX65" i="2"/>
  <c r="AX66" i="2"/>
  <c r="AX67" i="2"/>
  <c r="AX68" i="2"/>
  <c r="AX69" i="2"/>
  <c r="AX70" i="2"/>
  <c r="AX71" i="2"/>
  <c r="AX72" i="2"/>
  <c r="AX73" i="2"/>
  <c r="AX74" i="2"/>
  <c r="AX75" i="2"/>
  <c r="AX76" i="2"/>
  <c r="AX77" i="2"/>
  <c r="AX78" i="2"/>
  <c r="AX79" i="2"/>
  <c r="AX80" i="2"/>
  <c r="AX81" i="2"/>
  <c r="AX82" i="2"/>
  <c r="AX83" i="2"/>
  <c r="AX84" i="2"/>
  <c r="AX85" i="2"/>
  <c r="AX86" i="2"/>
  <c r="AX87" i="2"/>
  <c r="AX88" i="2"/>
  <c r="AX89" i="2"/>
  <c r="AX90" i="2"/>
  <c r="AX91" i="2"/>
  <c r="AX92" i="2"/>
  <c r="AX93" i="2"/>
  <c r="AX94" i="2"/>
  <c r="AX95" i="2"/>
  <c r="AX96" i="2"/>
  <c r="AX97" i="2"/>
  <c r="AX98" i="2"/>
  <c r="AX99" i="2"/>
  <c r="AX100" i="2"/>
  <c r="AX101" i="2"/>
  <c r="AX102" i="2"/>
  <c r="AX103" i="2"/>
  <c r="AX104" i="2"/>
  <c r="AX105" i="2"/>
  <c r="AX106" i="2"/>
  <c r="AX107" i="2"/>
  <c r="AX108" i="2"/>
  <c r="AX109" i="2"/>
  <c r="AX110" i="2"/>
  <c r="AX111" i="2"/>
  <c r="AX112" i="2"/>
  <c r="AX113" i="2"/>
  <c r="AX114" i="2"/>
  <c r="AX115" i="2"/>
  <c r="AX116" i="2"/>
  <c r="AX117" i="2"/>
  <c r="AX118" i="2"/>
  <c r="AX119" i="2"/>
  <c r="AX120" i="2"/>
  <c r="AX121" i="2"/>
  <c r="AX122" i="2"/>
  <c r="AX123" i="2"/>
  <c r="C13" i="12"/>
  <c r="AT14" i="2"/>
  <c r="AT16" i="2"/>
  <c r="AT17" i="2"/>
  <c r="AT36" i="2"/>
  <c r="AT50" i="2"/>
  <c r="AT51" i="2"/>
  <c r="AT70" i="2"/>
  <c r="AT84" i="2"/>
  <c r="AT85" i="2"/>
  <c r="AT104" i="2"/>
  <c r="AT47" i="2"/>
  <c r="AT81" i="2"/>
  <c r="AT65" i="2"/>
  <c r="AT15" i="2"/>
  <c r="AT18" i="2"/>
  <c r="AT19" i="2"/>
  <c r="AT20" i="2"/>
  <c r="AT21" i="2"/>
  <c r="AT22" i="2"/>
  <c r="AT23" i="2"/>
  <c r="AT24" i="2"/>
  <c r="AT25" i="2"/>
  <c r="AT26" i="2"/>
  <c r="AT27" i="2"/>
  <c r="AT28" i="2"/>
  <c r="AT29" i="2"/>
  <c r="AT30" i="2"/>
  <c r="AT31" i="2"/>
  <c r="AT32" i="2"/>
  <c r="AT33" i="2"/>
  <c r="AT34" i="2"/>
  <c r="AT35" i="2"/>
  <c r="AT43" i="2"/>
  <c r="AT44" i="2"/>
  <c r="AT45" i="2"/>
  <c r="AT46" i="2"/>
  <c r="AT48" i="2"/>
  <c r="AT49" i="2"/>
  <c r="AT52" i="2"/>
  <c r="AT53" i="2"/>
  <c r="AT56" i="2"/>
  <c r="AT60" i="2"/>
  <c r="AT61" i="2"/>
  <c r="AT68" i="2"/>
  <c r="AT69" i="2"/>
  <c r="AT77" i="2"/>
  <c r="AT78" i="2"/>
  <c r="AT79" i="2"/>
  <c r="AT80" i="2"/>
  <c r="AT82" i="2"/>
  <c r="AT83" i="2"/>
  <c r="AT86" i="2"/>
  <c r="AT87" i="2"/>
  <c r="AT94" i="2"/>
  <c r="AT95" i="2"/>
  <c r="AT102" i="2"/>
  <c r="AT103" i="2"/>
  <c r="AT111" i="2"/>
  <c r="AT112" i="2"/>
  <c r="AT113" i="2"/>
  <c r="AT114" i="2"/>
  <c r="AT115" i="2"/>
  <c r="AT59" i="2"/>
  <c r="AT66" i="2"/>
  <c r="AT99" i="2"/>
  <c r="AT100" i="2"/>
  <c r="AT37" i="2"/>
  <c r="AT38" i="2"/>
  <c r="AT39" i="2"/>
  <c r="AT40" i="2"/>
  <c r="AT41" i="2"/>
  <c r="AT42" i="2"/>
  <c r="AT54" i="2"/>
  <c r="AT55" i="2"/>
  <c r="AT57" i="2"/>
  <c r="AT58" i="2"/>
  <c r="AT62" i="2"/>
  <c r="AT63" i="2"/>
  <c r="AT64" i="2"/>
  <c r="AT67" i="2"/>
  <c r="AT71" i="2"/>
  <c r="AT72" i="2"/>
  <c r="AT73" i="2"/>
  <c r="AT74" i="2"/>
  <c r="AT75" i="2"/>
  <c r="AT76" i="2"/>
  <c r="AT88" i="2"/>
  <c r="AT89" i="2"/>
  <c r="AT90" i="2"/>
  <c r="AT91" i="2"/>
  <c r="AT92" i="2"/>
  <c r="AT93" i="2"/>
  <c r="AT96" i="2"/>
  <c r="AT97" i="2"/>
  <c r="AT98" i="2"/>
  <c r="AT101" i="2"/>
  <c r="AT105" i="2"/>
  <c r="AT106" i="2"/>
  <c r="AT107" i="2"/>
  <c r="AT108" i="2"/>
  <c r="AT109" i="2"/>
  <c r="AT110" i="2"/>
  <c r="D86" i="14"/>
  <c r="I86" i="14"/>
  <c r="G86" i="14"/>
  <c r="E24" i="17"/>
  <c r="E24" i="19"/>
  <c r="I78" i="14"/>
  <c r="I79" i="14"/>
  <c r="I80" i="14"/>
  <c r="I81" i="14"/>
  <c r="I82" i="14"/>
  <c r="I85" i="14"/>
  <c r="I83" i="14"/>
  <c r="I87" i="14"/>
  <c r="G78" i="14"/>
  <c r="G79" i="14"/>
  <c r="G80" i="14"/>
  <c r="G81" i="14"/>
  <c r="G82" i="14"/>
  <c r="G85" i="14"/>
  <c r="G83" i="14"/>
  <c r="G87" i="14"/>
  <c r="G27" i="17"/>
  <c r="G26" i="17"/>
  <c r="G25" i="17"/>
  <c r="F24" i="17"/>
  <c r="G24" i="17"/>
  <c r="F17" i="17"/>
  <c r="E17" i="17"/>
  <c r="G17" i="17"/>
  <c r="F18" i="17"/>
  <c r="E18" i="17"/>
  <c r="G18" i="17"/>
  <c r="F19" i="17"/>
  <c r="E19" i="17"/>
  <c r="G19" i="17"/>
  <c r="F20" i="17"/>
  <c r="E20" i="17"/>
  <c r="G20" i="17"/>
  <c r="F21" i="17"/>
  <c r="E21" i="17"/>
  <c r="G21" i="17"/>
  <c r="F23" i="17"/>
  <c r="E23" i="17"/>
  <c r="G23" i="17"/>
  <c r="F22" i="17"/>
  <c r="E22" i="17"/>
  <c r="G22" i="17"/>
  <c r="G28" i="17"/>
  <c r="F24" i="19"/>
  <c r="G24" i="19"/>
  <c r="G25" i="19"/>
  <c r="G26" i="19"/>
  <c r="G27" i="19"/>
  <c r="F17" i="19"/>
  <c r="E17" i="19"/>
  <c r="G17" i="19"/>
  <c r="F18" i="19"/>
  <c r="E18" i="19"/>
  <c r="G18" i="19"/>
  <c r="F19" i="19"/>
  <c r="E19" i="19"/>
  <c r="G19" i="19"/>
  <c r="F20" i="19"/>
  <c r="E20" i="19"/>
  <c r="G20" i="19"/>
  <c r="F21" i="19"/>
  <c r="E21" i="19"/>
  <c r="G21" i="19"/>
  <c r="F23" i="19"/>
  <c r="E23" i="19"/>
  <c r="G23" i="19"/>
  <c r="F22" i="19"/>
  <c r="E22" i="19"/>
  <c r="G22" i="19"/>
  <c r="G28" i="19"/>
  <c r="A18" i="19"/>
  <c r="A19" i="19"/>
  <c r="A20" i="19"/>
  <c r="A21" i="19"/>
  <c r="A22" i="19"/>
  <c r="A23" i="19"/>
  <c r="A24" i="19"/>
  <c r="A25" i="19"/>
  <c r="A26" i="19"/>
  <c r="A27" i="19"/>
  <c r="A18" i="17"/>
  <c r="A19" i="17"/>
  <c r="A20" i="17"/>
  <c r="A21" i="17"/>
  <c r="A22" i="17"/>
  <c r="A23" i="17"/>
  <c r="A24" i="17"/>
  <c r="A25" i="17"/>
  <c r="A26" i="17"/>
  <c r="A27" i="17"/>
  <c r="A51" i="14"/>
  <c r="C51" i="14"/>
  <c r="D51" i="14"/>
  <c r="E51" i="14"/>
  <c r="F51" i="14"/>
  <c r="G51" i="14"/>
  <c r="H51" i="14"/>
  <c r="I51" i="14"/>
  <c r="J51" i="14"/>
  <c r="K51" i="14"/>
  <c r="L51" i="14"/>
  <c r="M51" i="14"/>
  <c r="A52" i="14"/>
  <c r="C52" i="14"/>
  <c r="D52" i="14"/>
  <c r="E52" i="14"/>
  <c r="F52" i="14"/>
  <c r="G52" i="14"/>
  <c r="H52" i="14"/>
  <c r="I52" i="14"/>
  <c r="J52" i="14"/>
  <c r="K52" i="14"/>
  <c r="L52" i="14"/>
  <c r="M52" i="14"/>
  <c r="M53" i="14"/>
  <c r="A54" i="14"/>
  <c r="C54" i="14"/>
  <c r="D54" i="14"/>
  <c r="E54" i="14"/>
  <c r="F54" i="14"/>
  <c r="G54" i="14"/>
  <c r="H54" i="14"/>
  <c r="I54" i="14"/>
  <c r="J54" i="14"/>
  <c r="K54" i="14"/>
  <c r="L54" i="14"/>
  <c r="M54" i="14"/>
  <c r="M55" i="14"/>
  <c r="D55" i="14"/>
  <c r="E55" i="14"/>
  <c r="F55" i="14"/>
  <c r="G55" i="14"/>
  <c r="H55" i="14"/>
  <c r="I55" i="14"/>
  <c r="J55" i="14"/>
  <c r="K55" i="14"/>
  <c r="L55" i="14"/>
  <c r="C55" i="14"/>
  <c r="A43" i="14"/>
  <c r="D43" i="14"/>
  <c r="E43" i="14"/>
  <c r="F43" i="14"/>
  <c r="G43" i="14"/>
  <c r="H43" i="14"/>
  <c r="I43" i="14"/>
  <c r="J43" i="14"/>
  <c r="K43" i="14"/>
  <c r="L43" i="14"/>
  <c r="A44" i="14"/>
  <c r="D44" i="14"/>
  <c r="E44" i="14"/>
  <c r="F44" i="14"/>
  <c r="G44" i="14"/>
  <c r="H44" i="14"/>
  <c r="I44" i="14"/>
  <c r="J44" i="14"/>
  <c r="K44" i="14"/>
  <c r="L44" i="14"/>
  <c r="A46" i="14"/>
  <c r="D46" i="14"/>
  <c r="E46" i="14"/>
  <c r="F46" i="14"/>
  <c r="G46" i="14"/>
  <c r="H46" i="14"/>
  <c r="I46" i="14"/>
  <c r="J46" i="14"/>
  <c r="K46" i="14"/>
  <c r="L46" i="14"/>
  <c r="C44" i="14"/>
  <c r="C46" i="14"/>
  <c r="C43" i="14"/>
  <c r="M43" i="14"/>
  <c r="M44" i="14"/>
  <c r="M45" i="14"/>
  <c r="M46" i="14"/>
  <c r="M47" i="14"/>
  <c r="L47" i="14"/>
  <c r="K47" i="14"/>
  <c r="J47" i="14"/>
  <c r="I47" i="14"/>
  <c r="H47" i="14"/>
  <c r="G47" i="14"/>
  <c r="F47" i="14"/>
  <c r="E47" i="14"/>
  <c r="D47" i="14"/>
  <c r="C47" i="14"/>
  <c r="C22" i="14"/>
  <c r="D22" i="14"/>
  <c r="E22" i="14"/>
  <c r="F22" i="14"/>
  <c r="G22" i="14"/>
  <c r="H22" i="14"/>
  <c r="I22" i="14"/>
  <c r="J22" i="14"/>
  <c r="K22" i="14"/>
  <c r="L22" i="14"/>
  <c r="C28" i="14"/>
  <c r="D28" i="14"/>
  <c r="E28" i="14"/>
  <c r="F28" i="14"/>
  <c r="G28" i="14"/>
  <c r="H28" i="14"/>
  <c r="I28" i="14"/>
  <c r="J28" i="14"/>
  <c r="K28" i="14"/>
  <c r="L28" i="14"/>
  <c r="C31" i="14"/>
  <c r="D31" i="14"/>
  <c r="E31" i="14"/>
  <c r="F31" i="14"/>
  <c r="G31" i="14"/>
  <c r="H31" i="14"/>
  <c r="I31" i="14"/>
  <c r="J31" i="14"/>
  <c r="K31" i="14"/>
  <c r="L31" i="14"/>
  <c r="C36" i="14"/>
  <c r="D36" i="14"/>
  <c r="E36" i="14"/>
  <c r="F36" i="14"/>
  <c r="G36" i="14"/>
  <c r="H36" i="14"/>
  <c r="I36" i="14"/>
  <c r="J36" i="14"/>
  <c r="K36" i="14"/>
  <c r="L36" i="14"/>
  <c r="C37" i="14"/>
  <c r="D37" i="14"/>
  <c r="E37" i="14"/>
  <c r="F37" i="14"/>
  <c r="G37" i="14"/>
  <c r="H37" i="14"/>
  <c r="I37" i="14"/>
  <c r="J37" i="14"/>
  <c r="K37" i="14"/>
  <c r="L37" i="14"/>
  <c r="C38" i="14"/>
  <c r="D38" i="14"/>
  <c r="E38" i="14"/>
  <c r="F38" i="14"/>
  <c r="G38" i="14"/>
  <c r="H38" i="14"/>
  <c r="I38" i="14"/>
  <c r="J38" i="14"/>
  <c r="K38" i="14"/>
  <c r="L38" i="14"/>
  <c r="A3" i="22"/>
  <c r="BA14" i="2"/>
  <c r="BB14" i="2"/>
  <c r="B14" i="2"/>
  <c r="AO3" i="4"/>
  <c r="AP4" i="4"/>
  <c r="AQ4" i="4"/>
  <c r="AR4" i="4"/>
  <c r="AO4" i="4"/>
  <c r="AP5" i="4"/>
  <c r="AQ5" i="4"/>
  <c r="AR5" i="4"/>
  <c r="AO5" i="4"/>
  <c r="AP6" i="4"/>
  <c r="AQ6" i="4"/>
  <c r="AR6" i="4"/>
  <c r="AO6" i="4"/>
  <c r="AS4" i="4"/>
  <c r="AS5" i="4"/>
  <c r="AA4" i="4"/>
  <c r="Z4" i="4"/>
  <c r="AS6" i="4"/>
  <c r="AP7" i="4"/>
  <c r="AQ7" i="4"/>
  <c r="AR7" i="4"/>
  <c r="AO7" i="4"/>
  <c r="AS7" i="4"/>
  <c r="AP8" i="4"/>
  <c r="AQ8" i="4"/>
  <c r="AR8" i="4"/>
  <c r="AO8" i="4"/>
  <c r="AS8" i="4"/>
  <c r="AP9" i="4"/>
  <c r="AQ9" i="4"/>
  <c r="AR9" i="4"/>
  <c r="AO9" i="4"/>
  <c r="AA5" i="4"/>
  <c r="Z5" i="4"/>
  <c r="AS9" i="4"/>
  <c r="AP10" i="4"/>
  <c r="AQ10" i="4"/>
  <c r="AR10" i="4"/>
  <c r="AO10" i="4"/>
  <c r="AS10" i="4"/>
  <c r="AP11" i="4"/>
  <c r="AQ11" i="4"/>
  <c r="AR11" i="4"/>
  <c r="AO11" i="4"/>
  <c r="AS11" i="4"/>
  <c r="AP12" i="4"/>
  <c r="AQ12" i="4"/>
  <c r="AR12" i="4"/>
  <c r="AO12" i="4"/>
  <c r="AA6" i="4"/>
  <c r="AB6" i="4"/>
  <c r="Z6" i="4"/>
  <c r="AE4" i="4"/>
  <c r="AS12" i="4"/>
  <c r="AP13" i="4"/>
  <c r="AQ13" i="4"/>
  <c r="AR13" i="4"/>
  <c r="AO13" i="4"/>
  <c r="AS13" i="4"/>
  <c r="AP14" i="4"/>
  <c r="AQ14" i="4"/>
  <c r="AR14" i="4"/>
  <c r="AO14" i="4"/>
  <c r="AS14" i="4"/>
  <c r="AP15" i="4"/>
  <c r="AQ15" i="4"/>
  <c r="AR15" i="4"/>
  <c r="AO15" i="4"/>
  <c r="AA7" i="4"/>
  <c r="AB7" i="4"/>
  <c r="Z7" i="4"/>
  <c r="AS15" i="4"/>
  <c r="AP16" i="4"/>
  <c r="AQ16" i="4"/>
  <c r="AR16" i="4"/>
  <c r="AO16" i="4"/>
  <c r="AS16" i="4"/>
  <c r="AP17" i="4"/>
  <c r="AQ17" i="4"/>
  <c r="AR17" i="4"/>
  <c r="AO17" i="4"/>
  <c r="AS17" i="4"/>
  <c r="AP18" i="4"/>
  <c r="AQ18" i="4"/>
  <c r="AR18" i="4"/>
  <c r="AO18" i="4"/>
  <c r="AA8" i="4"/>
  <c r="AB8" i="4"/>
  <c r="Z8" i="4"/>
  <c r="AS18" i="4"/>
  <c r="AP19" i="4"/>
  <c r="AQ19" i="4"/>
  <c r="AR19" i="4"/>
  <c r="AO19" i="4"/>
  <c r="AS19" i="4"/>
  <c r="AP20" i="4"/>
  <c r="AQ20" i="4"/>
  <c r="AR20" i="4"/>
  <c r="AO20" i="4"/>
  <c r="AS20" i="4"/>
  <c r="AU14" i="2"/>
  <c r="BA15" i="2"/>
  <c r="BB15" i="2"/>
  <c r="B15" i="2"/>
  <c r="AU15" i="2"/>
  <c r="BA16" i="2"/>
  <c r="BB16" i="2"/>
  <c r="B16" i="2"/>
  <c r="AU16" i="2"/>
  <c r="BA17" i="2"/>
  <c r="BB17" i="2"/>
  <c r="B17" i="2"/>
  <c r="AU17" i="2"/>
  <c r="BA18" i="2"/>
  <c r="BB18" i="2"/>
  <c r="B18" i="2"/>
  <c r="AU18" i="2"/>
  <c r="BA19" i="2"/>
  <c r="BB19" i="2"/>
  <c r="B19" i="2"/>
  <c r="AU19" i="2"/>
  <c r="BA20" i="2"/>
  <c r="BB20" i="2"/>
  <c r="B20" i="2"/>
  <c r="BA21" i="2"/>
  <c r="BB21" i="2"/>
  <c r="B21" i="2"/>
  <c r="BA22" i="2"/>
  <c r="BB22" i="2"/>
  <c r="B22" i="2"/>
  <c r="BA23" i="2"/>
  <c r="BB23" i="2"/>
  <c r="B23" i="2"/>
  <c r="BA24" i="2"/>
  <c r="BB24" i="2"/>
  <c r="B24" i="2"/>
  <c r="BA25" i="2"/>
  <c r="BB25" i="2"/>
  <c r="B25" i="2"/>
  <c r="BA26" i="2"/>
  <c r="BB26" i="2"/>
  <c r="B26" i="2"/>
  <c r="BA27" i="2"/>
  <c r="BB27" i="2"/>
  <c r="B27" i="2"/>
  <c r="BA28" i="2"/>
  <c r="BB28" i="2"/>
  <c r="B28" i="2"/>
  <c r="BA29" i="2"/>
  <c r="BB29" i="2"/>
  <c r="B29" i="2"/>
  <c r="BA30" i="2"/>
  <c r="BB30" i="2"/>
  <c r="B30" i="2"/>
  <c r="BA31" i="2"/>
  <c r="BB31" i="2"/>
  <c r="B31" i="2"/>
  <c r="BA32" i="2"/>
  <c r="BB32" i="2"/>
  <c r="B32" i="2"/>
  <c r="BA33" i="2"/>
  <c r="BB33" i="2"/>
  <c r="B33" i="2"/>
  <c r="BA34" i="2"/>
  <c r="BB34" i="2"/>
  <c r="B34" i="2"/>
  <c r="BA35" i="2"/>
  <c r="BB35" i="2"/>
  <c r="B35" i="2"/>
  <c r="BA36" i="2"/>
  <c r="BB36" i="2"/>
  <c r="B36" i="2"/>
  <c r="BA37" i="2"/>
  <c r="BB37" i="2"/>
  <c r="B37" i="2"/>
  <c r="BA38" i="2"/>
  <c r="BB38" i="2"/>
  <c r="B38" i="2"/>
  <c r="BA39" i="2"/>
  <c r="BB39" i="2"/>
  <c r="B39" i="2"/>
  <c r="BA40" i="2"/>
  <c r="BB40" i="2"/>
  <c r="B40" i="2"/>
  <c r="BA41" i="2"/>
  <c r="BB41" i="2"/>
  <c r="B41" i="2"/>
  <c r="BA42" i="2"/>
  <c r="BB42" i="2"/>
  <c r="B42" i="2"/>
  <c r="BA43" i="2"/>
  <c r="BB43" i="2"/>
  <c r="B43" i="2"/>
  <c r="BA44" i="2"/>
  <c r="BB44" i="2"/>
  <c r="B44" i="2"/>
  <c r="BA45" i="2"/>
  <c r="BB45" i="2"/>
  <c r="B45" i="2"/>
  <c r="BA46" i="2"/>
  <c r="BB46" i="2"/>
  <c r="B46" i="2"/>
  <c r="BA47" i="2"/>
  <c r="BB47" i="2"/>
  <c r="B47" i="2"/>
  <c r="BA48" i="2"/>
  <c r="BB48" i="2"/>
  <c r="B48" i="2"/>
  <c r="BA49" i="2"/>
  <c r="BB49" i="2"/>
  <c r="B49" i="2"/>
  <c r="BA50" i="2"/>
  <c r="BB50" i="2"/>
  <c r="B50" i="2"/>
  <c r="BA51" i="2"/>
  <c r="BB51" i="2"/>
  <c r="B51" i="2"/>
  <c r="BA52" i="2"/>
  <c r="BB52" i="2"/>
  <c r="B52" i="2"/>
  <c r="BA53" i="2"/>
  <c r="BB53" i="2"/>
  <c r="B53" i="2"/>
  <c r="BA54" i="2"/>
  <c r="BB54" i="2"/>
  <c r="B54" i="2"/>
  <c r="BA55" i="2"/>
  <c r="BB55" i="2"/>
  <c r="B55" i="2"/>
  <c r="BA56" i="2"/>
  <c r="BB56" i="2"/>
  <c r="B56" i="2"/>
  <c r="BA57" i="2"/>
  <c r="BB57" i="2"/>
  <c r="B57" i="2"/>
  <c r="BA58" i="2"/>
  <c r="BB58" i="2"/>
  <c r="B58" i="2"/>
  <c r="BA59" i="2"/>
  <c r="BB59" i="2"/>
  <c r="B59" i="2"/>
  <c r="BA60" i="2"/>
  <c r="BB60" i="2"/>
  <c r="B60" i="2"/>
  <c r="BA61" i="2"/>
  <c r="BB61" i="2"/>
  <c r="B61" i="2"/>
  <c r="BA62" i="2"/>
  <c r="BB62" i="2"/>
  <c r="B62" i="2"/>
  <c r="BA63" i="2"/>
  <c r="BB63" i="2"/>
  <c r="B63" i="2"/>
  <c r="BA64" i="2"/>
  <c r="BB64" i="2"/>
  <c r="B64" i="2"/>
  <c r="BA65" i="2"/>
  <c r="BB65" i="2"/>
  <c r="B65" i="2"/>
  <c r="BA66" i="2"/>
  <c r="BB66" i="2"/>
  <c r="B66" i="2"/>
  <c r="BA67" i="2"/>
  <c r="BB67" i="2"/>
  <c r="B67" i="2"/>
  <c r="BA68" i="2"/>
  <c r="BB68" i="2"/>
  <c r="B68" i="2"/>
  <c r="BA69" i="2"/>
  <c r="BB69" i="2"/>
  <c r="B69" i="2"/>
  <c r="BA70" i="2"/>
  <c r="BB70" i="2"/>
  <c r="B70" i="2"/>
  <c r="BA71" i="2"/>
  <c r="BB71" i="2"/>
  <c r="B71" i="2"/>
  <c r="BA72" i="2"/>
  <c r="BB72" i="2"/>
  <c r="B72" i="2"/>
  <c r="BA73" i="2"/>
  <c r="BB73" i="2"/>
  <c r="B73" i="2"/>
  <c r="BA74" i="2"/>
  <c r="BB74" i="2"/>
  <c r="B74" i="2"/>
  <c r="BA75" i="2"/>
  <c r="BB75" i="2"/>
  <c r="B75" i="2"/>
  <c r="BA76" i="2"/>
  <c r="BB76" i="2"/>
  <c r="B76" i="2"/>
  <c r="BA77" i="2"/>
  <c r="BB77" i="2"/>
  <c r="B77" i="2"/>
  <c r="BA78" i="2"/>
  <c r="BB78" i="2"/>
  <c r="B78" i="2"/>
  <c r="BA79" i="2"/>
  <c r="BB79" i="2"/>
  <c r="B79" i="2"/>
  <c r="BA80" i="2"/>
  <c r="BB80" i="2"/>
  <c r="B80" i="2"/>
  <c r="BA81" i="2"/>
  <c r="BB81" i="2"/>
  <c r="B81" i="2"/>
  <c r="BA82" i="2"/>
  <c r="BB82" i="2"/>
  <c r="B82" i="2"/>
  <c r="BA83" i="2"/>
  <c r="BB83" i="2"/>
  <c r="B83" i="2"/>
  <c r="BA84" i="2"/>
  <c r="BB84" i="2"/>
  <c r="B84" i="2"/>
  <c r="BA85" i="2"/>
  <c r="BB85" i="2"/>
  <c r="B85" i="2"/>
  <c r="BA86" i="2"/>
  <c r="BB86" i="2"/>
  <c r="B86" i="2"/>
  <c r="BA87" i="2"/>
  <c r="BB87" i="2"/>
  <c r="B87" i="2"/>
  <c r="BA88" i="2"/>
  <c r="BB88" i="2"/>
  <c r="B88" i="2"/>
  <c r="BA89" i="2"/>
  <c r="BB89" i="2"/>
  <c r="B89" i="2"/>
  <c r="BA90" i="2"/>
  <c r="BB90" i="2"/>
  <c r="B90" i="2"/>
  <c r="BA91" i="2"/>
  <c r="BB91" i="2"/>
  <c r="B91" i="2"/>
  <c r="BA92" i="2"/>
  <c r="BB92" i="2"/>
  <c r="B92" i="2"/>
  <c r="BA93" i="2"/>
  <c r="BB93" i="2"/>
  <c r="B93" i="2"/>
  <c r="BA94" i="2"/>
  <c r="BB94" i="2"/>
  <c r="B94" i="2"/>
  <c r="BA95" i="2"/>
  <c r="BB95" i="2"/>
  <c r="B95" i="2"/>
  <c r="BA96" i="2"/>
  <c r="BB96" i="2"/>
  <c r="B96" i="2"/>
  <c r="BA97" i="2"/>
  <c r="BB97" i="2"/>
  <c r="B97" i="2"/>
  <c r="BA98" i="2"/>
  <c r="BB98" i="2"/>
  <c r="B98" i="2"/>
  <c r="BA99" i="2"/>
  <c r="BB99" i="2"/>
  <c r="B99" i="2"/>
  <c r="BA100" i="2"/>
  <c r="BB100" i="2"/>
  <c r="B100" i="2"/>
  <c r="BA101" i="2"/>
  <c r="BB101" i="2"/>
  <c r="B101" i="2"/>
  <c r="BA102" i="2"/>
  <c r="BB102" i="2"/>
  <c r="B102" i="2"/>
  <c r="BA103" i="2"/>
  <c r="BB103" i="2"/>
  <c r="B103" i="2"/>
  <c r="BA104" i="2"/>
  <c r="BB104" i="2"/>
  <c r="B104" i="2"/>
  <c r="BA105" i="2"/>
  <c r="BB105" i="2"/>
  <c r="B105" i="2"/>
  <c r="BA106" i="2"/>
  <c r="BB106" i="2"/>
  <c r="B106" i="2"/>
  <c r="BA107" i="2"/>
  <c r="BB107" i="2"/>
  <c r="B107" i="2"/>
  <c r="BA108" i="2"/>
  <c r="BB108" i="2"/>
  <c r="B108" i="2"/>
  <c r="BA109" i="2"/>
  <c r="BB109" i="2"/>
  <c r="B109" i="2"/>
  <c r="BA110" i="2"/>
  <c r="BB110" i="2"/>
  <c r="B110" i="2"/>
  <c r="BA111" i="2"/>
  <c r="BB111" i="2"/>
  <c r="B111" i="2"/>
  <c r="BA112" i="2"/>
  <c r="BB112" i="2"/>
  <c r="B112" i="2"/>
  <c r="BA113" i="2"/>
  <c r="BB113" i="2"/>
  <c r="B113" i="2"/>
  <c r="BA114" i="2"/>
  <c r="BB114" i="2"/>
  <c r="B114" i="2"/>
  <c r="BA115" i="2"/>
  <c r="BB115" i="2"/>
  <c r="B115" i="2"/>
  <c r="BA116" i="2"/>
  <c r="BB116" i="2"/>
  <c r="B116" i="2"/>
  <c r="BA117" i="2"/>
  <c r="BB117" i="2"/>
  <c r="B117" i="2"/>
  <c r="BA118" i="2"/>
  <c r="BB118" i="2"/>
  <c r="B118" i="2"/>
  <c r="BA119" i="2"/>
  <c r="BB119" i="2"/>
  <c r="B119" i="2"/>
  <c r="BA120" i="2"/>
  <c r="BB120" i="2"/>
  <c r="B120" i="2"/>
  <c r="BA121" i="2"/>
  <c r="BB121" i="2"/>
  <c r="B121" i="2"/>
  <c r="BA122" i="2"/>
  <c r="BB122" i="2"/>
  <c r="B122" i="2"/>
  <c r="BA123" i="2"/>
  <c r="BB123" i="2"/>
  <c r="B123" i="2"/>
  <c r="AY14" i="2"/>
  <c r="AY15" i="2"/>
  <c r="AY16" i="2"/>
  <c r="AY17" i="2"/>
  <c r="AY18" i="2"/>
  <c r="AY19" i="2"/>
  <c r="AY20" i="2"/>
  <c r="AY21" i="2"/>
  <c r="AY22" i="2"/>
  <c r="AY23" i="2"/>
  <c r="AY24" i="2"/>
  <c r="AY25" i="2"/>
  <c r="AY26" i="2"/>
  <c r="AY27" i="2"/>
  <c r="AY28" i="2"/>
  <c r="AY29" i="2"/>
  <c r="AY30" i="2"/>
  <c r="AY31" i="2"/>
  <c r="AY32" i="2"/>
  <c r="AY33" i="2"/>
  <c r="AY34" i="2"/>
  <c r="AY35" i="2"/>
  <c r="AY36" i="2"/>
  <c r="AY37" i="2"/>
  <c r="AY38" i="2"/>
  <c r="AY39" i="2"/>
  <c r="AY40" i="2"/>
  <c r="AY41" i="2"/>
  <c r="AY42" i="2"/>
  <c r="AY43" i="2"/>
  <c r="AY44" i="2"/>
  <c r="AY45" i="2"/>
  <c r="AY46" i="2"/>
  <c r="AY47" i="2"/>
  <c r="AY48" i="2"/>
  <c r="AY49" i="2"/>
  <c r="AY50" i="2"/>
  <c r="AY51" i="2"/>
  <c r="AY52" i="2"/>
  <c r="AY53" i="2"/>
  <c r="AY54" i="2"/>
  <c r="AY55" i="2"/>
  <c r="AY56" i="2"/>
  <c r="AY57" i="2"/>
  <c r="AY58" i="2"/>
  <c r="AY59" i="2"/>
  <c r="AY60" i="2"/>
  <c r="AY61" i="2"/>
  <c r="AY62" i="2"/>
  <c r="AY63" i="2"/>
  <c r="AY64" i="2"/>
  <c r="AY65" i="2"/>
  <c r="AY66" i="2"/>
  <c r="AY67" i="2"/>
  <c r="AY68" i="2"/>
  <c r="AY69" i="2"/>
  <c r="AY70" i="2"/>
  <c r="AY71" i="2"/>
  <c r="AY72" i="2"/>
  <c r="AY73" i="2"/>
  <c r="AY74" i="2"/>
  <c r="AY75" i="2"/>
  <c r="AY76" i="2"/>
  <c r="AY77" i="2"/>
  <c r="AY78" i="2"/>
  <c r="AY79" i="2"/>
  <c r="AY80" i="2"/>
  <c r="AY81" i="2"/>
  <c r="AY82" i="2"/>
  <c r="AY83" i="2"/>
  <c r="AY84" i="2"/>
  <c r="AY85" i="2"/>
  <c r="AY86" i="2"/>
  <c r="AY87" i="2"/>
  <c r="AY88" i="2"/>
  <c r="AY89" i="2"/>
  <c r="AY90" i="2"/>
  <c r="AY91" i="2"/>
  <c r="AY92" i="2"/>
  <c r="AY93" i="2"/>
  <c r="AY94" i="2"/>
  <c r="AY95" i="2"/>
  <c r="AY96" i="2"/>
  <c r="AY97" i="2"/>
  <c r="AY98" i="2"/>
  <c r="AY99" i="2"/>
  <c r="AY100" i="2"/>
  <c r="AY101" i="2"/>
  <c r="AY102" i="2"/>
  <c r="AY103" i="2"/>
  <c r="AY104" i="2"/>
  <c r="AY105" i="2"/>
  <c r="AY106" i="2"/>
  <c r="AY107" i="2"/>
  <c r="AY108" i="2"/>
  <c r="AY109" i="2"/>
  <c r="AY110" i="2"/>
  <c r="AY111" i="2"/>
  <c r="AY112" i="2"/>
  <c r="AY113" i="2"/>
  <c r="AY114" i="2"/>
  <c r="AY115" i="2"/>
  <c r="AY116" i="2"/>
  <c r="AY117" i="2"/>
  <c r="AY118" i="2"/>
  <c r="AY119" i="2"/>
  <c r="AY120" i="2"/>
  <c r="AY121" i="2"/>
  <c r="AY122" i="2"/>
  <c r="AY123" i="2"/>
  <c r="BC14" i="2"/>
  <c r="C14" i="2"/>
  <c r="AZ14" i="2"/>
  <c r="AZ15" i="2"/>
  <c r="AZ16" i="2"/>
  <c r="AZ17" i="2"/>
  <c r="AZ18" i="2"/>
  <c r="AZ19" i="2"/>
  <c r="AZ20" i="2"/>
  <c r="AZ21" i="2"/>
  <c r="AZ22" i="2"/>
  <c r="AZ23" i="2"/>
  <c r="AZ24" i="2"/>
  <c r="AZ25" i="2"/>
  <c r="AZ26" i="2"/>
  <c r="AZ27" i="2"/>
  <c r="AZ28" i="2"/>
  <c r="AZ29" i="2"/>
  <c r="AZ30" i="2"/>
  <c r="AZ31" i="2"/>
  <c r="AZ32" i="2"/>
  <c r="AZ33" i="2"/>
  <c r="AZ34" i="2"/>
  <c r="AZ35" i="2"/>
  <c r="AZ36" i="2"/>
  <c r="AZ37" i="2"/>
  <c r="AZ38" i="2"/>
  <c r="AZ39" i="2"/>
  <c r="AZ40" i="2"/>
  <c r="AZ41" i="2"/>
  <c r="AZ42" i="2"/>
  <c r="AZ43" i="2"/>
  <c r="AZ44" i="2"/>
  <c r="AZ45" i="2"/>
  <c r="AZ46" i="2"/>
  <c r="AZ47" i="2"/>
  <c r="AZ48" i="2"/>
  <c r="AZ49" i="2"/>
  <c r="AZ50" i="2"/>
  <c r="AZ51" i="2"/>
  <c r="AZ52" i="2"/>
  <c r="AZ53" i="2"/>
  <c r="AZ54" i="2"/>
  <c r="AZ55" i="2"/>
  <c r="AZ56" i="2"/>
  <c r="AZ57" i="2"/>
  <c r="AZ58" i="2"/>
  <c r="AZ59" i="2"/>
  <c r="AZ60" i="2"/>
  <c r="AZ61" i="2"/>
  <c r="AZ62" i="2"/>
  <c r="AZ63" i="2"/>
  <c r="AZ64" i="2"/>
  <c r="AZ65" i="2"/>
  <c r="AZ66" i="2"/>
  <c r="AZ67" i="2"/>
  <c r="AZ68" i="2"/>
  <c r="AZ69" i="2"/>
  <c r="AZ70" i="2"/>
  <c r="AZ71" i="2"/>
  <c r="AZ72" i="2"/>
  <c r="AZ73" i="2"/>
  <c r="AZ74" i="2"/>
  <c r="AZ75" i="2"/>
  <c r="AZ76" i="2"/>
  <c r="AZ77" i="2"/>
  <c r="AZ78" i="2"/>
  <c r="AZ79" i="2"/>
  <c r="AZ80" i="2"/>
  <c r="AZ81" i="2"/>
  <c r="AZ82" i="2"/>
  <c r="AZ83" i="2"/>
  <c r="AZ84" i="2"/>
  <c r="AZ85" i="2"/>
  <c r="AZ86" i="2"/>
  <c r="AZ87" i="2"/>
  <c r="AZ88" i="2"/>
  <c r="AZ89" i="2"/>
  <c r="AZ90" i="2"/>
  <c r="AZ91" i="2"/>
  <c r="AZ92" i="2"/>
  <c r="AZ93" i="2"/>
  <c r="AZ94" i="2"/>
  <c r="AZ95" i="2"/>
  <c r="AZ96" i="2"/>
  <c r="AZ97" i="2"/>
  <c r="AZ98" i="2"/>
  <c r="AZ99" i="2"/>
  <c r="AZ100" i="2"/>
  <c r="AZ101" i="2"/>
  <c r="AZ102" i="2"/>
  <c r="AZ103" i="2"/>
  <c r="AZ104" i="2"/>
  <c r="AZ105" i="2"/>
  <c r="AZ106" i="2"/>
  <c r="AZ107" i="2"/>
  <c r="AZ108" i="2"/>
  <c r="AZ109" i="2"/>
  <c r="AZ110" i="2"/>
  <c r="AZ111" i="2"/>
  <c r="AZ112" i="2"/>
  <c r="AZ113" i="2"/>
  <c r="AZ114" i="2"/>
  <c r="AZ115" i="2"/>
  <c r="AZ116" i="2"/>
  <c r="AZ117" i="2"/>
  <c r="AZ118" i="2"/>
  <c r="AZ119" i="2"/>
  <c r="AZ120" i="2"/>
  <c r="AZ121" i="2"/>
  <c r="AZ122" i="2"/>
  <c r="AZ123" i="2"/>
  <c r="BD14" i="2"/>
  <c r="D14" i="2"/>
  <c r="BE14" i="2"/>
  <c r="BC15" i="2"/>
  <c r="C15" i="2"/>
  <c r="BD15" i="2"/>
  <c r="D15" i="2"/>
  <c r="BE15" i="2"/>
  <c r="BC16" i="2"/>
  <c r="C16" i="2"/>
  <c r="BD16" i="2"/>
  <c r="D16" i="2"/>
  <c r="BE16" i="2"/>
  <c r="BC17" i="2"/>
  <c r="C17" i="2"/>
  <c r="BD17" i="2"/>
  <c r="D17" i="2"/>
  <c r="BE17" i="2"/>
  <c r="BC18" i="2"/>
  <c r="C18" i="2"/>
  <c r="BD18" i="2"/>
  <c r="D18" i="2"/>
  <c r="BE18" i="2"/>
  <c r="BC19" i="2"/>
  <c r="C19" i="2"/>
  <c r="BD19" i="2"/>
  <c r="D19" i="2"/>
  <c r="BE19" i="2"/>
  <c r="BC20" i="2"/>
  <c r="C20" i="2"/>
  <c r="BD20" i="2"/>
  <c r="D20" i="2"/>
  <c r="AU20" i="2"/>
  <c r="BE20" i="2"/>
  <c r="BC21" i="2"/>
  <c r="C21" i="2"/>
  <c r="BD21" i="2"/>
  <c r="D21" i="2"/>
  <c r="AU21" i="2"/>
  <c r="BE21" i="2"/>
  <c r="BC22" i="2"/>
  <c r="C22" i="2"/>
  <c r="BD22" i="2"/>
  <c r="D22" i="2"/>
  <c r="AU22" i="2"/>
  <c r="BE22" i="2"/>
  <c r="BC23" i="2"/>
  <c r="C23" i="2"/>
  <c r="BD23" i="2"/>
  <c r="D23" i="2"/>
  <c r="AU23" i="2"/>
  <c r="BE23" i="2"/>
  <c r="BC24" i="2"/>
  <c r="C24" i="2"/>
  <c r="BD24" i="2"/>
  <c r="D24" i="2"/>
  <c r="AU24" i="2"/>
  <c r="BE24" i="2"/>
  <c r="BC25" i="2"/>
  <c r="C25" i="2"/>
  <c r="BD25" i="2"/>
  <c r="D25" i="2"/>
  <c r="AU25" i="2"/>
  <c r="BE25" i="2"/>
  <c r="BC26" i="2"/>
  <c r="C26" i="2"/>
  <c r="BD26" i="2"/>
  <c r="D26" i="2"/>
  <c r="AU26" i="2"/>
  <c r="BE26" i="2"/>
  <c r="BC27" i="2"/>
  <c r="C27" i="2"/>
  <c r="BD27" i="2"/>
  <c r="D27" i="2"/>
  <c r="AU27" i="2"/>
  <c r="BE27" i="2"/>
  <c r="BC28" i="2"/>
  <c r="C28" i="2"/>
  <c r="BD28" i="2"/>
  <c r="D28" i="2"/>
  <c r="AU28" i="2"/>
  <c r="BE28" i="2"/>
  <c r="BC29" i="2"/>
  <c r="C29" i="2"/>
  <c r="BD29" i="2"/>
  <c r="D29" i="2"/>
  <c r="AU29" i="2"/>
  <c r="BE29" i="2"/>
  <c r="BC30" i="2"/>
  <c r="C30" i="2"/>
  <c r="BD30" i="2"/>
  <c r="D30" i="2"/>
  <c r="AU30" i="2"/>
  <c r="BE30" i="2"/>
  <c r="BC31" i="2"/>
  <c r="C31" i="2"/>
  <c r="BD31" i="2"/>
  <c r="D31" i="2"/>
  <c r="AU31" i="2"/>
  <c r="BE31" i="2"/>
  <c r="BC32" i="2"/>
  <c r="C32" i="2"/>
  <c r="BD32" i="2"/>
  <c r="D32" i="2"/>
  <c r="AU32" i="2"/>
  <c r="BE32" i="2"/>
  <c r="BC33" i="2"/>
  <c r="C33" i="2"/>
  <c r="BD33" i="2"/>
  <c r="D33" i="2"/>
  <c r="AU33" i="2"/>
  <c r="BE33" i="2"/>
  <c r="BC34" i="2"/>
  <c r="C34" i="2"/>
  <c r="BD34" i="2"/>
  <c r="D34" i="2"/>
  <c r="BE34" i="2"/>
  <c r="BC35" i="2"/>
  <c r="C35" i="2"/>
  <c r="BD35" i="2"/>
  <c r="D35" i="2"/>
  <c r="BE35" i="2"/>
  <c r="BC36" i="2"/>
  <c r="C36" i="2"/>
  <c r="BD36" i="2"/>
  <c r="D36" i="2"/>
  <c r="BE36" i="2"/>
  <c r="BC37" i="2"/>
  <c r="C37" i="2"/>
  <c r="BD37" i="2"/>
  <c r="D37" i="2"/>
  <c r="BE37" i="2"/>
  <c r="BC38" i="2"/>
  <c r="C38" i="2"/>
  <c r="BD38" i="2"/>
  <c r="D38" i="2"/>
  <c r="BE38" i="2"/>
  <c r="BC39" i="2"/>
  <c r="C39" i="2"/>
  <c r="BD39" i="2"/>
  <c r="D39" i="2"/>
  <c r="BE39" i="2"/>
  <c r="BC40" i="2"/>
  <c r="C40" i="2"/>
  <c r="BD40" i="2"/>
  <c r="D40" i="2"/>
  <c r="BE40" i="2"/>
  <c r="BC41" i="2"/>
  <c r="C41" i="2"/>
  <c r="BD41" i="2"/>
  <c r="D41" i="2"/>
  <c r="BE41" i="2"/>
  <c r="BC42" i="2"/>
  <c r="C42" i="2"/>
  <c r="BD42" i="2"/>
  <c r="D42" i="2"/>
  <c r="BE42" i="2"/>
  <c r="BC43" i="2"/>
  <c r="C43" i="2"/>
  <c r="BD43" i="2"/>
  <c r="D43" i="2"/>
  <c r="BE43" i="2"/>
  <c r="BC44" i="2"/>
  <c r="C44" i="2"/>
  <c r="BD44" i="2"/>
  <c r="D44" i="2"/>
  <c r="BE44" i="2"/>
  <c r="BC45" i="2"/>
  <c r="C45" i="2"/>
  <c r="BD45" i="2"/>
  <c r="D45" i="2"/>
  <c r="BE45" i="2"/>
  <c r="BC46" i="2"/>
  <c r="C46" i="2"/>
  <c r="BD46" i="2"/>
  <c r="D46" i="2"/>
  <c r="BE46" i="2"/>
  <c r="BC47" i="2"/>
  <c r="C47" i="2"/>
  <c r="BD47" i="2"/>
  <c r="D47" i="2"/>
  <c r="BE47" i="2"/>
  <c r="BC48" i="2"/>
  <c r="C48" i="2"/>
  <c r="BD48" i="2"/>
  <c r="D48" i="2"/>
  <c r="BE48" i="2"/>
  <c r="BC49" i="2"/>
  <c r="C49" i="2"/>
  <c r="BD49" i="2"/>
  <c r="D49" i="2"/>
  <c r="BE49" i="2"/>
  <c r="BC50" i="2"/>
  <c r="C50" i="2"/>
  <c r="BD50" i="2"/>
  <c r="D50" i="2"/>
  <c r="BE50" i="2"/>
  <c r="BC51" i="2"/>
  <c r="C51" i="2"/>
  <c r="BD51" i="2"/>
  <c r="D51" i="2"/>
  <c r="BE51" i="2"/>
  <c r="BC52" i="2"/>
  <c r="C52" i="2"/>
  <c r="BD52" i="2"/>
  <c r="D52" i="2"/>
  <c r="BE52" i="2"/>
  <c r="BC53" i="2"/>
  <c r="C53" i="2"/>
  <c r="BD53" i="2"/>
  <c r="D53" i="2"/>
  <c r="BE53" i="2"/>
  <c r="BC54" i="2"/>
  <c r="C54" i="2"/>
  <c r="BD54" i="2"/>
  <c r="D54" i="2"/>
  <c r="BE54" i="2"/>
  <c r="BC55" i="2"/>
  <c r="C55" i="2"/>
  <c r="BD55" i="2"/>
  <c r="D55" i="2"/>
  <c r="BE55" i="2"/>
  <c r="BC56" i="2"/>
  <c r="C56" i="2"/>
  <c r="BD56" i="2"/>
  <c r="D56" i="2"/>
  <c r="BE56" i="2"/>
  <c r="BC57" i="2"/>
  <c r="C57" i="2"/>
  <c r="BD57" i="2"/>
  <c r="D57" i="2"/>
  <c r="BE57" i="2"/>
  <c r="BC58" i="2"/>
  <c r="C58" i="2"/>
  <c r="BD58" i="2"/>
  <c r="D58" i="2"/>
  <c r="BE58" i="2"/>
  <c r="BC59" i="2"/>
  <c r="C59" i="2"/>
  <c r="BD59" i="2"/>
  <c r="D59" i="2"/>
  <c r="BE59" i="2"/>
  <c r="BC60" i="2"/>
  <c r="C60" i="2"/>
  <c r="BD60" i="2"/>
  <c r="D60" i="2"/>
  <c r="BE60" i="2"/>
  <c r="BC61" i="2"/>
  <c r="C61" i="2"/>
  <c r="BD61" i="2"/>
  <c r="D61" i="2"/>
  <c r="BE61" i="2"/>
  <c r="BC62" i="2"/>
  <c r="C62" i="2"/>
  <c r="BD62" i="2"/>
  <c r="D62" i="2"/>
  <c r="BE62" i="2"/>
  <c r="BC63" i="2"/>
  <c r="C63" i="2"/>
  <c r="BD63" i="2"/>
  <c r="D63" i="2"/>
  <c r="BE63" i="2"/>
  <c r="BC64" i="2"/>
  <c r="C64" i="2"/>
  <c r="BD64" i="2"/>
  <c r="D64" i="2"/>
  <c r="BE64" i="2"/>
  <c r="BC65" i="2"/>
  <c r="C65" i="2"/>
  <c r="BD65" i="2"/>
  <c r="D65" i="2"/>
  <c r="BE65" i="2"/>
  <c r="BC66" i="2"/>
  <c r="C66" i="2"/>
  <c r="BD66" i="2"/>
  <c r="D66" i="2"/>
  <c r="BE66" i="2"/>
  <c r="BC67" i="2"/>
  <c r="C67" i="2"/>
  <c r="BD67" i="2"/>
  <c r="D67" i="2"/>
  <c r="BE67" i="2"/>
  <c r="BC68" i="2"/>
  <c r="C68" i="2"/>
  <c r="BD68" i="2"/>
  <c r="D68" i="2"/>
  <c r="BE68" i="2"/>
  <c r="BC69" i="2"/>
  <c r="C69" i="2"/>
  <c r="BD69" i="2"/>
  <c r="D69" i="2"/>
  <c r="BE69" i="2"/>
  <c r="BC70" i="2"/>
  <c r="C70" i="2"/>
  <c r="BD70" i="2"/>
  <c r="D70" i="2"/>
  <c r="BE70" i="2"/>
  <c r="BC71" i="2"/>
  <c r="C71" i="2"/>
  <c r="BD71" i="2"/>
  <c r="D71" i="2"/>
  <c r="BE71" i="2"/>
  <c r="BC72" i="2"/>
  <c r="C72" i="2"/>
  <c r="BD72" i="2"/>
  <c r="D72" i="2"/>
  <c r="BE72" i="2"/>
  <c r="BC73" i="2"/>
  <c r="C73" i="2"/>
  <c r="BD73" i="2"/>
  <c r="D73" i="2"/>
  <c r="BE73" i="2"/>
  <c r="BC74" i="2"/>
  <c r="C74" i="2"/>
  <c r="BD74" i="2"/>
  <c r="D74" i="2"/>
  <c r="BE74" i="2"/>
  <c r="BC75" i="2"/>
  <c r="C75" i="2"/>
  <c r="BD75" i="2"/>
  <c r="D75" i="2"/>
  <c r="BE75" i="2"/>
  <c r="BC76" i="2"/>
  <c r="C76" i="2"/>
  <c r="BD76" i="2"/>
  <c r="D76" i="2"/>
  <c r="BE76" i="2"/>
  <c r="BC77" i="2"/>
  <c r="C77" i="2"/>
  <c r="BD77" i="2"/>
  <c r="D77" i="2"/>
  <c r="BE77" i="2"/>
  <c r="BC78" i="2"/>
  <c r="C78" i="2"/>
  <c r="BD78" i="2"/>
  <c r="D78" i="2"/>
  <c r="BE78" i="2"/>
  <c r="BC79" i="2"/>
  <c r="C79" i="2"/>
  <c r="BD79" i="2"/>
  <c r="D79" i="2"/>
  <c r="BE79" i="2"/>
  <c r="BC80" i="2"/>
  <c r="C80" i="2"/>
  <c r="BD80" i="2"/>
  <c r="D80" i="2"/>
  <c r="BE80" i="2"/>
  <c r="BC81" i="2"/>
  <c r="C81" i="2"/>
  <c r="BD81" i="2"/>
  <c r="D81" i="2"/>
  <c r="BE81" i="2"/>
  <c r="BC82" i="2"/>
  <c r="C82" i="2"/>
  <c r="BD82" i="2"/>
  <c r="D82" i="2"/>
  <c r="BE82" i="2"/>
  <c r="BC83" i="2"/>
  <c r="C83" i="2"/>
  <c r="BD83" i="2"/>
  <c r="D83" i="2"/>
  <c r="BE83" i="2"/>
  <c r="BC84" i="2"/>
  <c r="C84" i="2"/>
  <c r="BD84" i="2"/>
  <c r="D84" i="2"/>
  <c r="BE84" i="2"/>
  <c r="BC85" i="2"/>
  <c r="C85" i="2"/>
  <c r="BD85" i="2"/>
  <c r="D85" i="2"/>
  <c r="BE85" i="2"/>
  <c r="BC86" i="2"/>
  <c r="C86" i="2"/>
  <c r="BD86" i="2"/>
  <c r="D86" i="2"/>
  <c r="BE86" i="2"/>
  <c r="BC87" i="2"/>
  <c r="C87" i="2"/>
  <c r="BD87" i="2"/>
  <c r="D87" i="2"/>
  <c r="BE87" i="2"/>
  <c r="BC88" i="2"/>
  <c r="C88" i="2"/>
  <c r="BD88" i="2"/>
  <c r="D88" i="2"/>
  <c r="BE88" i="2"/>
  <c r="BC89" i="2"/>
  <c r="C89" i="2"/>
  <c r="BD89" i="2"/>
  <c r="D89" i="2"/>
  <c r="BE89" i="2"/>
  <c r="BC90" i="2"/>
  <c r="C90" i="2"/>
  <c r="BD90" i="2"/>
  <c r="D90" i="2"/>
  <c r="BE90" i="2"/>
  <c r="BC91" i="2"/>
  <c r="C91" i="2"/>
  <c r="BD91" i="2"/>
  <c r="D91" i="2"/>
  <c r="BE91" i="2"/>
  <c r="BC92" i="2"/>
  <c r="C92" i="2"/>
  <c r="BD92" i="2"/>
  <c r="D92" i="2"/>
  <c r="BE92" i="2"/>
  <c r="BC93" i="2"/>
  <c r="C93" i="2"/>
  <c r="BD93" i="2"/>
  <c r="D93" i="2"/>
  <c r="BE93" i="2"/>
  <c r="BC94" i="2"/>
  <c r="C94" i="2"/>
  <c r="BD94" i="2"/>
  <c r="D94" i="2"/>
  <c r="BE94" i="2"/>
  <c r="BC95" i="2"/>
  <c r="C95" i="2"/>
  <c r="BD95" i="2"/>
  <c r="D95" i="2"/>
  <c r="BE95" i="2"/>
  <c r="BC96" i="2"/>
  <c r="C96" i="2"/>
  <c r="BD96" i="2"/>
  <c r="D96" i="2"/>
  <c r="BE96" i="2"/>
  <c r="BC97" i="2"/>
  <c r="C97" i="2"/>
  <c r="BD97" i="2"/>
  <c r="D97" i="2"/>
  <c r="BE97" i="2"/>
  <c r="BC98" i="2"/>
  <c r="C98" i="2"/>
  <c r="BD98" i="2"/>
  <c r="D98" i="2"/>
  <c r="BE98" i="2"/>
  <c r="BC99" i="2"/>
  <c r="C99" i="2"/>
  <c r="BD99" i="2"/>
  <c r="D99" i="2"/>
  <c r="BE99" i="2"/>
  <c r="BC100" i="2"/>
  <c r="C100" i="2"/>
  <c r="BD100" i="2"/>
  <c r="D100" i="2"/>
  <c r="BE100" i="2"/>
  <c r="BC101" i="2"/>
  <c r="C101" i="2"/>
  <c r="BD101" i="2"/>
  <c r="D101" i="2"/>
  <c r="BE101" i="2"/>
  <c r="BC102" i="2"/>
  <c r="C102" i="2"/>
  <c r="BD102" i="2"/>
  <c r="D102" i="2"/>
  <c r="BE102" i="2"/>
  <c r="BC103" i="2"/>
  <c r="C103" i="2"/>
  <c r="BD103" i="2"/>
  <c r="D103" i="2"/>
  <c r="BE103" i="2"/>
  <c r="BC104" i="2"/>
  <c r="C104" i="2"/>
  <c r="BD104" i="2"/>
  <c r="D104" i="2"/>
  <c r="BE104" i="2"/>
  <c r="BC105" i="2"/>
  <c r="C105" i="2"/>
  <c r="BD105" i="2"/>
  <c r="D105" i="2"/>
  <c r="BE105" i="2"/>
  <c r="BC106" i="2"/>
  <c r="C106" i="2"/>
  <c r="BD106" i="2"/>
  <c r="D106" i="2"/>
  <c r="BE106" i="2"/>
  <c r="BC107" i="2"/>
  <c r="C107" i="2"/>
  <c r="BD107" i="2"/>
  <c r="D107" i="2"/>
  <c r="BE107" i="2"/>
  <c r="BC108" i="2"/>
  <c r="C108" i="2"/>
  <c r="BD108" i="2"/>
  <c r="D108" i="2"/>
  <c r="BE108" i="2"/>
  <c r="BC109" i="2"/>
  <c r="C109" i="2"/>
  <c r="BD109" i="2"/>
  <c r="D109" i="2"/>
  <c r="BE109" i="2"/>
  <c r="BC110" i="2"/>
  <c r="C110" i="2"/>
  <c r="BD110" i="2"/>
  <c r="D110" i="2"/>
  <c r="BE110" i="2"/>
  <c r="BC111" i="2"/>
  <c r="C111" i="2"/>
  <c r="BD111" i="2"/>
  <c r="D111" i="2"/>
  <c r="BE111" i="2"/>
  <c r="BC112" i="2"/>
  <c r="C112" i="2"/>
  <c r="BD112" i="2"/>
  <c r="D112" i="2"/>
  <c r="BE112" i="2"/>
  <c r="BC113" i="2"/>
  <c r="C113" i="2"/>
  <c r="BD113" i="2"/>
  <c r="D113" i="2"/>
  <c r="BE113" i="2"/>
  <c r="BC114" i="2"/>
  <c r="C114" i="2"/>
  <c r="BD114" i="2"/>
  <c r="D114" i="2"/>
  <c r="BE114" i="2"/>
  <c r="BC115" i="2"/>
  <c r="C115" i="2"/>
  <c r="BD115" i="2"/>
  <c r="D115" i="2"/>
  <c r="BE115" i="2"/>
  <c r="BC116" i="2"/>
  <c r="C116" i="2"/>
  <c r="BD116" i="2"/>
  <c r="D116" i="2"/>
  <c r="BE116" i="2"/>
  <c r="BC117" i="2"/>
  <c r="C117" i="2"/>
  <c r="BD117" i="2"/>
  <c r="D117" i="2"/>
  <c r="BE117" i="2"/>
  <c r="BC118" i="2"/>
  <c r="C118" i="2"/>
  <c r="BD118" i="2"/>
  <c r="D118" i="2"/>
  <c r="BE118" i="2"/>
  <c r="BC119" i="2"/>
  <c r="C119" i="2"/>
  <c r="BD119" i="2"/>
  <c r="D119" i="2"/>
  <c r="BE119" i="2"/>
  <c r="BC120" i="2"/>
  <c r="C120" i="2"/>
  <c r="BD120" i="2"/>
  <c r="D120" i="2"/>
  <c r="BE120" i="2"/>
  <c r="BC121" i="2"/>
  <c r="C121" i="2"/>
  <c r="BD121" i="2"/>
  <c r="D121" i="2"/>
  <c r="BE121" i="2"/>
  <c r="BC122" i="2"/>
  <c r="C122" i="2"/>
  <c r="BD122" i="2"/>
  <c r="D122" i="2"/>
  <c r="BE122" i="2"/>
  <c r="BC123" i="2"/>
  <c r="C123" i="2"/>
  <c r="BD123" i="2"/>
  <c r="D123" i="2"/>
  <c r="BE123" i="2"/>
  <c r="AU34" i="2"/>
  <c r="AU35" i="2"/>
  <c r="AU36" i="2"/>
  <c r="AU37" i="2"/>
  <c r="AU38" i="2"/>
  <c r="AU39" i="2"/>
  <c r="AU40" i="2"/>
  <c r="AU41" i="2"/>
  <c r="AU42" i="2"/>
  <c r="AU43" i="2"/>
  <c r="AU44" i="2"/>
  <c r="AU45" i="2"/>
  <c r="AU46" i="2"/>
  <c r="AU47" i="2"/>
  <c r="AU48" i="2"/>
  <c r="AU49" i="2"/>
  <c r="AU50" i="2"/>
  <c r="AU51" i="2"/>
  <c r="AU52" i="2"/>
  <c r="AU53" i="2"/>
  <c r="AU54" i="2"/>
  <c r="AU55" i="2"/>
  <c r="AU56" i="2"/>
  <c r="AU57" i="2"/>
  <c r="AU58" i="2"/>
  <c r="AU59" i="2"/>
  <c r="AU60" i="2"/>
  <c r="AU61" i="2"/>
  <c r="AU62" i="2"/>
  <c r="AU63" i="2"/>
  <c r="AU64" i="2"/>
  <c r="AU65" i="2"/>
  <c r="AU66" i="2"/>
  <c r="AU67" i="2"/>
  <c r="AU68" i="2"/>
  <c r="AU69" i="2"/>
  <c r="AU70" i="2"/>
  <c r="AU71" i="2"/>
  <c r="AU72" i="2"/>
  <c r="AU73" i="2"/>
  <c r="AU74" i="2"/>
  <c r="AU75" i="2"/>
  <c r="AU76" i="2"/>
  <c r="AU77" i="2"/>
  <c r="AU78" i="2"/>
  <c r="AU79" i="2"/>
  <c r="AU80" i="2"/>
  <c r="AU81" i="2"/>
  <c r="AU82" i="2"/>
  <c r="AU83" i="2"/>
  <c r="AU84" i="2"/>
  <c r="AU85" i="2"/>
  <c r="AU86" i="2"/>
  <c r="AU87" i="2"/>
  <c r="AU88" i="2"/>
  <c r="AU89" i="2"/>
  <c r="AU90" i="2"/>
  <c r="AU91" i="2"/>
  <c r="AU92" i="2"/>
  <c r="AU93" i="2"/>
  <c r="AU94" i="2"/>
  <c r="AU95" i="2"/>
  <c r="AU96" i="2"/>
  <c r="AU97" i="2"/>
  <c r="AU98" i="2"/>
  <c r="AU99" i="2"/>
  <c r="AU100" i="2"/>
  <c r="AU101" i="2"/>
  <c r="AU102" i="2"/>
  <c r="AU103" i="2"/>
  <c r="AU104" i="2"/>
  <c r="AU105" i="2"/>
  <c r="AU106" i="2"/>
  <c r="AU107" i="2"/>
  <c r="AU108" i="2"/>
  <c r="AU109" i="2"/>
  <c r="AU110" i="2"/>
  <c r="AU111" i="2"/>
  <c r="AU112" i="2"/>
  <c r="AU113" i="2"/>
  <c r="AU114" i="2"/>
  <c r="AU115" i="2"/>
  <c r="AT116" i="2"/>
  <c r="AU116" i="2"/>
  <c r="AT117" i="2"/>
  <c r="AU117" i="2"/>
  <c r="AT118" i="2"/>
  <c r="AU118" i="2"/>
  <c r="AT119" i="2"/>
  <c r="AU119" i="2"/>
  <c r="AT120" i="2"/>
  <c r="AU120" i="2"/>
  <c r="AT121" i="2"/>
  <c r="AU121" i="2"/>
  <c r="AT122" i="2"/>
  <c r="AU122" i="2"/>
  <c r="AT123" i="2"/>
  <c r="AU123" i="2"/>
  <c r="E116" i="22"/>
  <c r="D116" i="22"/>
  <c r="C116" i="22"/>
  <c r="B116" i="22"/>
  <c r="A116" i="22"/>
  <c r="E115" i="22"/>
  <c r="D115" i="22"/>
  <c r="C115" i="22"/>
  <c r="B115" i="22"/>
  <c r="A115" i="22"/>
  <c r="E114" i="22"/>
  <c r="D114" i="22"/>
  <c r="C114" i="22"/>
  <c r="B114" i="22"/>
  <c r="A114" i="22"/>
  <c r="E113" i="22"/>
  <c r="D113" i="22"/>
  <c r="C113" i="22"/>
  <c r="B113" i="22"/>
  <c r="A113" i="22"/>
  <c r="E112" i="22"/>
  <c r="D112" i="22"/>
  <c r="C112" i="22"/>
  <c r="B112" i="22"/>
  <c r="A112" i="22"/>
  <c r="E111" i="22"/>
  <c r="D111" i="22"/>
  <c r="C111" i="22"/>
  <c r="B111" i="22"/>
  <c r="A111" i="22"/>
  <c r="E110" i="22"/>
  <c r="D110" i="22"/>
  <c r="C110" i="22"/>
  <c r="B110" i="22"/>
  <c r="A110" i="22"/>
  <c r="E109" i="22"/>
  <c r="D109" i="22"/>
  <c r="C109" i="22"/>
  <c r="B109" i="22"/>
  <c r="A109" i="22"/>
  <c r="E108" i="22"/>
  <c r="D108" i="22"/>
  <c r="C108" i="22"/>
  <c r="B108" i="22"/>
  <c r="A108" i="22"/>
  <c r="E107" i="22"/>
  <c r="D107" i="22"/>
  <c r="C107" i="22"/>
  <c r="B107" i="22"/>
  <c r="A107" i="22"/>
  <c r="E106" i="22"/>
  <c r="D106" i="22"/>
  <c r="C106" i="22"/>
  <c r="B106" i="22"/>
  <c r="A106" i="22"/>
  <c r="E105" i="22"/>
  <c r="D105" i="22"/>
  <c r="C105" i="22"/>
  <c r="B105" i="22"/>
  <c r="A105" i="22"/>
  <c r="E104" i="22"/>
  <c r="D104" i="22"/>
  <c r="C104" i="22"/>
  <c r="B104" i="22"/>
  <c r="A104" i="22"/>
  <c r="E103" i="22"/>
  <c r="D103" i="22"/>
  <c r="C103" i="22"/>
  <c r="B103" i="22"/>
  <c r="A103" i="22"/>
  <c r="E102" i="22"/>
  <c r="D102" i="22"/>
  <c r="C102" i="22"/>
  <c r="B102" i="22"/>
  <c r="A102" i="22"/>
  <c r="E101" i="22"/>
  <c r="D101" i="22"/>
  <c r="C101" i="22"/>
  <c r="B101" i="22"/>
  <c r="A101" i="22"/>
  <c r="E100" i="22"/>
  <c r="D100" i="22"/>
  <c r="C100" i="22"/>
  <c r="B100" i="22"/>
  <c r="A100" i="22"/>
  <c r="E99" i="22"/>
  <c r="D99" i="22"/>
  <c r="C99" i="22"/>
  <c r="B99" i="22"/>
  <c r="A99" i="22"/>
  <c r="E98" i="22"/>
  <c r="D98" i="22"/>
  <c r="C98" i="22"/>
  <c r="B98" i="22"/>
  <c r="A98" i="22"/>
  <c r="E97" i="22"/>
  <c r="D97" i="22"/>
  <c r="C97" i="22"/>
  <c r="B97" i="22"/>
  <c r="A97" i="22"/>
  <c r="E96" i="22"/>
  <c r="D96" i="22"/>
  <c r="C96" i="22"/>
  <c r="B96" i="22"/>
  <c r="A96" i="22"/>
  <c r="E95" i="22"/>
  <c r="D95" i="22"/>
  <c r="C95" i="22"/>
  <c r="B95" i="22"/>
  <c r="A95" i="22"/>
  <c r="E94" i="22"/>
  <c r="D94" i="22"/>
  <c r="C94" i="22"/>
  <c r="B94" i="22"/>
  <c r="A94" i="22"/>
  <c r="E93" i="22"/>
  <c r="D93" i="22"/>
  <c r="C93" i="22"/>
  <c r="B93" i="22"/>
  <c r="A93" i="22"/>
  <c r="E92" i="22"/>
  <c r="D92" i="22"/>
  <c r="C92" i="22"/>
  <c r="B92" i="22"/>
  <c r="A92" i="22"/>
  <c r="E91" i="22"/>
  <c r="D91" i="22"/>
  <c r="C91" i="22"/>
  <c r="B91" i="22"/>
  <c r="A91" i="22"/>
  <c r="E90" i="22"/>
  <c r="D90" i="22"/>
  <c r="C90" i="22"/>
  <c r="B90" i="22"/>
  <c r="A90" i="22"/>
  <c r="E89" i="22"/>
  <c r="D89" i="22"/>
  <c r="C89" i="22"/>
  <c r="B89" i="22"/>
  <c r="A89" i="22"/>
  <c r="E88" i="22"/>
  <c r="D88" i="22"/>
  <c r="C88" i="22"/>
  <c r="B88" i="22"/>
  <c r="A88" i="22"/>
  <c r="E87" i="22"/>
  <c r="D87" i="22"/>
  <c r="C87" i="22"/>
  <c r="B87" i="22"/>
  <c r="A87" i="22"/>
  <c r="E86" i="22"/>
  <c r="D86" i="22"/>
  <c r="C86" i="22"/>
  <c r="B86" i="22"/>
  <c r="A86" i="22"/>
  <c r="E85" i="22"/>
  <c r="D85" i="22"/>
  <c r="C85" i="22"/>
  <c r="B85" i="22"/>
  <c r="A85" i="22"/>
  <c r="E84" i="22"/>
  <c r="D84" i="22"/>
  <c r="C84" i="22"/>
  <c r="B84" i="22"/>
  <c r="A84" i="22"/>
  <c r="E83" i="22"/>
  <c r="D83" i="22"/>
  <c r="C83" i="22"/>
  <c r="B83" i="22"/>
  <c r="A83" i="22"/>
  <c r="E82" i="22"/>
  <c r="D82" i="22"/>
  <c r="C82" i="22"/>
  <c r="B82" i="22"/>
  <c r="A82" i="22"/>
  <c r="E81" i="22"/>
  <c r="D81" i="22"/>
  <c r="C81" i="22"/>
  <c r="B81" i="22"/>
  <c r="A81" i="22"/>
  <c r="E80" i="22"/>
  <c r="D80" i="22"/>
  <c r="C80" i="22"/>
  <c r="B80" i="22"/>
  <c r="A80" i="22"/>
  <c r="E79" i="22"/>
  <c r="D79" i="22"/>
  <c r="C79" i="22"/>
  <c r="B79" i="22"/>
  <c r="A79" i="22"/>
  <c r="E78" i="22"/>
  <c r="D78" i="22"/>
  <c r="C78" i="22"/>
  <c r="B78" i="22"/>
  <c r="A78" i="22"/>
  <c r="E77" i="22"/>
  <c r="D77" i="22"/>
  <c r="C77" i="22"/>
  <c r="B77" i="22"/>
  <c r="A77" i="22"/>
  <c r="E76" i="22"/>
  <c r="D76" i="22"/>
  <c r="C76" i="22"/>
  <c r="B76" i="22"/>
  <c r="A76" i="22"/>
  <c r="E75" i="22"/>
  <c r="D75" i="22"/>
  <c r="C75" i="22"/>
  <c r="B75" i="22"/>
  <c r="A75" i="22"/>
  <c r="E74" i="22"/>
  <c r="D74" i="22"/>
  <c r="C74" i="22"/>
  <c r="B74" i="22"/>
  <c r="A74" i="22"/>
  <c r="E73" i="22"/>
  <c r="D73" i="22"/>
  <c r="C73" i="22"/>
  <c r="B73" i="22"/>
  <c r="A73" i="22"/>
  <c r="E72" i="22"/>
  <c r="D72" i="22"/>
  <c r="C72" i="22"/>
  <c r="B72" i="22"/>
  <c r="A72" i="22"/>
  <c r="E71" i="22"/>
  <c r="D71" i="22"/>
  <c r="C71" i="22"/>
  <c r="B71" i="22"/>
  <c r="A71" i="22"/>
  <c r="E70" i="22"/>
  <c r="D70" i="22"/>
  <c r="C70" i="22"/>
  <c r="B70" i="22"/>
  <c r="A70" i="22"/>
  <c r="E69" i="22"/>
  <c r="D69" i="22"/>
  <c r="C69" i="22"/>
  <c r="B69" i="22"/>
  <c r="A69" i="22"/>
  <c r="E68" i="22"/>
  <c r="D68" i="22"/>
  <c r="C68" i="22"/>
  <c r="B68" i="22"/>
  <c r="A68" i="22"/>
  <c r="E67" i="22"/>
  <c r="D67" i="22"/>
  <c r="C67" i="22"/>
  <c r="B67" i="22"/>
  <c r="A67" i="22"/>
  <c r="E66" i="22"/>
  <c r="D66" i="22"/>
  <c r="C66" i="22"/>
  <c r="B66" i="22"/>
  <c r="A66" i="22"/>
  <c r="E65" i="22"/>
  <c r="D65" i="22"/>
  <c r="C65" i="22"/>
  <c r="B65" i="22"/>
  <c r="A65" i="22"/>
  <c r="E64" i="22"/>
  <c r="D64" i="22"/>
  <c r="C64" i="22"/>
  <c r="B64" i="22"/>
  <c r="A64" i="22"/>
  <c r="E63" i="22"/>
  <c r="D63" i="22"/>
  <c r="C63" i="22"/>
  <c r="B63" i="22"/>
  <c r="A63" i="22"/>
  <c r="E62" i="22"/>
  <c r="D62" i="22"/>
  <c r="C62" i="22"/>
  <c r="B62" i="22"/>
  <c r="A62" i="22"/>
  <c r="E61" i="22"/>
  <c r="D61" i="22"/>
  <c r="C61" i="22"/>
  <c r="B61" i="22"/>
  <c r="A61" i="22"/>
  <c r="E60" i="22"/>
  <c r="D60" i="22"/>
  <c r="C60" i="22"/>
  <c r="B60" i="22"/>
  <c r="A60" i="22"/>
  <c r="E59" i="22"/>
  <c r="D59" i="22"/>
  <c r="C59" i="22"/>
  <c r="B59" i="22"/>
  <c r="A59" i="22"/>
  <c r="E58" i="22"/>
  <c r="D58" i="22"/>
  <c r="C58" i="22"/>
  <c r="B58" i="22"/>
  <c r="A58" i="22"/>
  <c r="E57" i="22"/>
  <c r="D57" i="22"/>
  <c r="C57" i="22"/>
  <c r="B57" i="22"/>
  <c r="A57" i="22"/>
  <c r="E56" i="22"/>
  <c r="D56" i="22"/>
  <c r="C56" i="22"/>
  <c r="B56" i="22"/>
  <c r="A56" i="22"/>
  <c r="E55" i="22"/>
  <c r="D55" i="22"/>
  <c r="C55" i="22"/>
  <c r="B55" i="22"/>
  <c r="A55" i="22"/>
  <c r="E54" i="22"/>
  <c r="D54" i="22"/>
  <c r="C54" i="22"/>
  <c r="B54" i="22"/>
  <c r="A54" i="22"/>
  <c r="E53" i="22"/>
  <c r="D53" i="22"/>
  <c r="C53" i="22"/>
  <c r="B53" i="22"/>
  <c r="A53" i="22"/>
  <c r="E52" i="22"/>
  <c r="D52" i="22"/>
  <c r="C52" i="22"/>
  <c r="B52" i="22"/>
  <c r="A52" i="22"/>
  <c r="E51" i="22"/>
  <c r="D51" i="22"/>
  <c r="C51" i="22"/>
  <c r="B51" i="22"/>
  <c r="A51" i="22"/>
  <c r="E50" i="22"/>
  <c r="D50" i="22"/>
  <c r="C50" i="22"/>
  <c r="B50" i="22"/>
  <c r="A50" i="22"/>
  <c r="E49" i="22"/>
  <c r="D49" i="22"/>
  <c r="C49" i="22"/>
  <c r="B49" i="22"/>
  <c r="A49" i="22"/>
  <c r="E48" i="22"/>
  <c r="D48" i="22"/>
  <c r="C48" i="22"/>
  <c r="B48" i="22"/>
  <c r="A48" i="22"/>
  <c r="E47" i="22"/>
  <c r="D47" i="22"/>
  <c r="C47" i="22"/>
  <c r="B47" i="22"/>
  <c r="A47" i="22"/>
  <c r="E46" i="22"/>
  <c r="D46" i="22"/>
  <c r="C46" i="22"/>
  <c r="B46" i="22"/>
  <c r="A46" i="22"/>
  <c r="E45" i="22"/>
  <c r="D45" i="22"/>
  <c r="C45" i="22"/>
  <c r="B45" i="22"/>
  <c r="A45" i="22"/>
  <c r="E44" i="22"/>
  <c r="D44" i="22"/>
  <c r="C44" i="22"/>
  <c r="B44" i="22"/>
  <c r="A44" i="22"/>
  <c r="E43" i="22"/>
  <c r="D43" i="22"/>
  <c r="C43" i="22"/>
  <c r="B43" i="22"/>
  <c r="A43" i="22"/>
  <c r="E42" i="22"/>
  <c r="D42" i="22"/>
  <c r="C42" i="22"/>
  <c r="B42" i="22"/>
  <c r="A42" i="22"/>
  <c r="E41" i="22"/>
  <c r="D41" i="22"/>
  <c r="C41" i="22"/>
  <c r="B41" i="22"/>
  <c r="A41" i="22"/>
  <c r="E40" i="22"/>
  <c r="D40" i="22"/>
  <c r="C40" i="22"/>
  <c r="B40" i="22"/>
  <c r="A40" i="22"/>
  <c r="E39" i="22"/>
  <c r="D39" i="22"/>
  <c r="C39" i="22"/>
  <c r="B39" i="22"/>
  <c r="A39" i="22"/>
  <c r="E38" i="22"/>
  <c r="D38" i="22"/>
  <c r="C38" i="22"/>
  <c r="B38" i="22"/>
  <c r="A38" i="22"/>
  <c r="E37" i="22"/>
  <c r="D37" i="22"/>
  <c r="C37" i="22"/>
  <c r="B37" i="22"/>
  <c r="A37" i="22"/>
  <c r="E36" i="22"/>
  <c r="D36" i="22"/>
  <c r="C36" i="22"/>
  <c r="B36" i="22"/>
  <c r="A36" i="22"/>
  <c r="E35" i="22"/>
  <c r="D35" i="22"/>
  <c r="C35" i="22"/>
  <c r="B35" i="22"/>
  <c r="A35" i="22"/>
  <c r="E34" i="22"/>
  <c r="D34" i="22"/>
  <c r="C34" i="22"/>
  <c r="B34" i="22"/>
  <c r="A34" i="22"/>
  <c r="E33" i="22"/>
  <c r="D33" i="22"/>
  <c r="C33" i="22"/>
  <c r="B33" i="22"/>
  <c r="A33" i="22"/>
  <c r="E32" i="22"/>
  <c r="D32" i="22"/>
  <c r="C32" i="22"/>
  <c r="B32" i="22"/>
  <c r="A32" i="22"/>
  <c r="E31" i="22"/>
  <c r="D31" i="22"/>
  <c r="C31" i="22"/>
  <c r="B31" i="22"/>
  <c r="A31" i="22"/>
  <c r="E30" i="22"/>
  <c r="D30" i="22"/>
  <c r="C30" i="22"/>
  <c r="B30" i="22"/>
  <c r="A30" i="22"/>
  <c r="E29" i="22"/>
  <c r="D29" i="22"/>
  <c r="C29" i="22"/>
  <c r="B29" i="22"/>
  <c r="A29" i="22"/>
  <c r="E28" i="22"/>
  <c r="D28" i="22"/>
  <c r="C28" i="22"/>
  <c r="B28" i="22"/>
  <c r="A28" i="22"/>
  <c r="E27" i="22"/>
  <c r="D27" i="22"/>
  <c r="C27" i="22"/>
  <c r="B27" i="22"/>
  <c r="A27" i="22"/>
  <c r="E26" i="22"/>
  <c r="D26" i="22"/>
  <c r="C26" i="22"/>
  <c r="B26" i="22"/>
  <c r="A26" i="22"/>
  <c r="E25" i="22"/>
  <c r="D25" i="22"/>
  <c r="C25" i="22"/>
  <c r="B25" i="22"/>
  <c r="A25" i="22"/>
  <c r="E24" i="22"/>
  <c r="D24" i="22"/>
  <c r="C24" i="22"/>
  <c r="B24" i="22"/>
  <c r="A24" i="22"/>
  <c r="E23" i="22"/>
  <c r="D23" i="22"/>
  <c r="C23" i="22"/>
  <c r="B23" i="22"/>
  <c r="A23" i="22"/>
  <c r="E22" i="22"/>
  <c r="D22" i="22"/>
  <c r="C22" i="22"/>
  <c r="B22" i="22"/>
  <c r="A22" i="22"/>
  <c r="E21" i="22"/>
  <c r="D21" i="22"/>
  <c r="C21" i="22"/>
  <c r="B21" i="22"/>
  <c r="A21" i="22"/>
  <c r="E20" i="22"/>
  <c r="D20" i="22"/>
  <c r="C20" i="22"/>
  <c r="B20" i="22"/>
  <c r="A20" i="22"/>
  <c r="E19" i="22"/>
  <c r="D19" i="22"/>
  <c r="C19" i="22"/>
  <c r="B19" i="22"/>
  <c r="A19" i="22"/>
  <c r="E18" i="22"/>
  <c r="D18" i="22"/>
  <c r="C18" i="22"/>
  <c r="B18" i="22"/>
  <c r="A18" i="22"/>
  <c r="E17" i="22"/>
  <c r="D17" i="22"/>
  <c r="C17" i="22"/>
  <c r="B17" i="22"/>
  <c r="A17" i="22"/>
  <c r="E16" i="22"/>
  <c r="D16" i="22"/>
  <c r="C16" i="22"/>
  <c r="B16" i="22"/>
  <c r="A16" i="22"/>
  <c r="E15" i="22"/>
  <c r="D15" i="22"/>
  <c r="C15" i="22"/>
  <c r="B15" i="22"/>
  <c r="A15" i="22"/>
  <c r="E14" i="22"/>
  <c r="D14" i="22"/>
  <c r="C14" i="22"/>
  <c r="B14" i="22"/>
  <c r="A14" i="22"/>
  <c r="E13" i="22"/>
  <c r="D13" i="22"/>
  <c r="C13" i="22"/>
  <c r="B13" i="22"/>
  <c r="A13" i="22"/>
  <c r="E12" i="22"/>
  <c r="D12" i="22"/>
  <c r="C12" i="22"/>
  <c r="B12" i="22"/>
  <c r="A12" i="22"/>
  <c r="E11" i="22"/>
  <c r="D11" i="22"/>
  <c r="C11" i="22"/>
  <c r="B11" i="22"/>
  <c r="A11" i="22"/>
  <c r="E10" i="22"/>
  <c r="D10" i="22"/>
  <c r="C10" i="22"/>
  <c r="B10" i="22"/>
  <c r="A10" i="22"/>
  <c r="E9" i="22"/>
  <c r="D9" i="22"/>
  <c r="C9" i="22"/>
  <c r="B9" i="22"/>
  <c r="A9" i="22"/>
  <c r="E8" i="22"/>
  <c r="D8" i="22"/>
  <c r="C8" i="22"/>
  <c r="B8" i="22"/>
  <c r="A8" i="22"/>
  <c r="E7" i="22"/>
  <c r="D7" i="22"/>
  <c r="C7" i="22"/>
  <c r="B7" i="22"/>
  <c r="A7" i="22"/>
  <c r="BW11" i="2"/>
  <c r="BW73" i="2"/>
  <c r="J68" i="11"/>
  <c r="I68" i="11"/>
  <c r="H68" i="11"/>
  <c r="G68" i="11"/>
  <c r="F68" i="11"/>
  <c r="E68" i="11"/>
  <c r="D68" i="11"/>
  <c r="C68" i="11"/>
  <c r="B68" i="11"/>
  <c r="BW72" i="2"/>
  <c r="J67" i="11"/>
  <c r="I67" i="11"/>
  <c r="H67" i="11"/>
  <c r="G67" i="11"/>
  <c r="F67" i="11"/>
  <c r="E67" i="11"/>
  <c r="D67" i="11"/>
  <c r="C67" i="11"/>
  <c r="B67" i="11"/>
  <c r="BW71" i="2"/>
  <c r="J66" i="11"/>
  <c r="I66" i="11"/>
  <c r="H66" i="11"/>
  <c r="G66" i="11"/>
  <c r="F66" i="11"/>
  <c r="E66" i="11"/>
  <c r="D66" i="11"/>
  <c r="C66" i="11"/>
  <c r="B66" i="11"/>
  <c r="BW70" i="2"/>
  <c r="J65" i="11"/>
  <c r="I65" i="11"/>
  <c r="H65" i="11"/>
  <c r="G65" i="11"/>
  <c r="F65" i="11"/>
  <c r="E65" i="11"/>
  <c r="D65" i="11"/>
  <c r="C65" i="11"/>
  <c r="B65" i="11"/>
  <c r="BW69" i="2"/>
  <c r="J64" i="11"/>
  <c r="I64" i="11"/>
  <c r="H64" i="11"/>
  <c r="G64" i="11"/>
  <c r="F64" i="11"/>
  <c r="E64" i="11"/>
  <c r="D64" i="11"/>
  <c r="C64" i="11"/>
  <c r="B64" i="11"/>
  <c r="BW68" i="2"/>
  <c r="J63" i="11"/>
  <c r="I63" i="11"/>
  <c r="H63" i="11"/>
  <c r="G63" i="11"/>
  <c r="F63" i="11"/>
  <c r="E63" i="11"/>
  <c r="D63" i="11"/>
  <c r="C63" i="11"/>
  <c r="B63" i="11"/>
  <c r="BW67" i="2"/>
  <c r="J62" i="11"/>
  <c r="I62" i="11"/>
  <c r="H62" i="11"/>
  <c r="G62" i="11"/>
  <c r="F62" i="11"/>
  <c r="E62" i="11"/>
  <c r="D62" i="11"/>
  <c r="C62" i="11"/>
  <c r="B62" i="11"/>
  <c r="BW66" i="2"/>
  <c r="J61" i="11"/>
  <c r="I61" i="11"/>
  <c r="H61" i="11"/>
  <c r="G61" i="11"/>
  <c r="F61" i="11"/>
  <c r="E61" i="11"/>
  <c r="D61" i="11"/>
  <c r="C61" i="11"/>
  <c r="B61" i="11"/>
  <c r="BW65" i="2"/>
  <c r="J60" i="11"/>
  <c r="I60" i="11"/>
  <c r="H60" i="11"/>
  <c r="G60" i="11"/>
  <c r="F60" i="11"/>
  <c r="E60" i="11"/>
  <c r="D60" i="11"/>
  <c r="C60" i="11"/>
  <c r="B60" i="11"/>
  <c r="BW64" i="2"/>
  <c r="J59" i="11"/>
  <c r="I59" i="11"/>
  <c r="H59" i="11"/>
  <c r="G59" i="11"/>
  <c r="F59" i="11"/>
  <c r="E59" i="11"/>
  <c r="D59" i="11"/>
  <c r="C59" i="11"/>
  <c r="B59" i="11"/>
  <c r="BW63" i="2"/>
  <c r="J58" i="11"/>
  <c r="I58" i="11"/>
  <c r="H58" i="11"/>
  <c r="G58" i="11"/>
  <c r="F58" i="11"/>
  <c r="E58" i="11"/>
  <c r="D58" i="11"/>
  <c r="C58" i="11"/>
  <c r="B58" i="11"/>
  <c r="BW62" i="2"/>
  <c r="J57" i="11"/>
  <c r="I57" i="11"/>
  <c r="H57" i="11"/>
  <c r="G57" i="11"/>
  <c r="F57" i="11"/>
  <c r="E57" i="11"/>
  <c r="D57" i="11"/>
  <c r="C57" i="11"/>
  <c r="B57" i="11"/>
  <c r="BW61" i="2"/>
  <c r="J56" i="11"/>
  <c r="I56" i="11"/>
  <c r="H56" i="11"/>
  <c r="G56" i="11"/>
  <c r="F56" i="11"/>
  <c r="E56" i="11"/>
  <c r="D56" i="11"/>
  <c r="C56" i="11"/>
  <c r="B56" i="11"/>
  <c r="BW60" i="2"/>
  <c r="J55" i="11"/>
  <c r="I55" i="11"/>
  <c r="H55" i="11"/>
  <c r="G55" i="11"/>
  <c r="F55" i="11"/>
  <c r="E55" i="11"/>
  <c r="D55" i="11"/>
  <c r="C55" i="11"/>
  <c r="B55" i="11"/>
  <c r="BW59" i="2"/>
  <c r="J54" i="11"/>
  <c r="I54" i="11"/>
  <c r="H54" i="11"/>
  <c r="G54" i="11"/>
  <c r="F54" i="11"/>
  <c r="E54" i="11"/>
  <c r="D54" i="11"/>
  <c r="C54" i="11"/>
  <c r="B54" i="11"/>
  <c r="BW58" i="2"/>
  <c r="J53" i="11"/>
  <c r="I53" i="11"/>
  <c r="H53" i="11"/>
  <c r="G53" i="11"/>
  <c r="F53" i="11"/>
  <c r="E53" i="11"/>
  <c r="D53" i="11"/>
  <c r="C53" i="11"/>
  <c r="B53" i="11"/>
  <c r="BW57" i="2"/>
  <c r="J52" i="11"/>
  <c r="I52" i="11"/>
  <c r="H52" i="11"/>
  <c r="G52" i="11"/>
  <c r="F52" i="11"/>
  <c r="E52" i="11"/>
  <c r="D52" i="11"/>
  <c r="C52" i="11"/>
  <c r="B52" i="11"/>
  <c r="BW56" i="2"/>
  <c r="J51" i="11"/>
  <c r="I51" i="11"/>
  <c r="H51" i="11"/>
  <c r="G51" i="11"/>
  <c r="F51" i="11"/>
  <c r="E51" i="11"/>
  <c r="D51" i="11"/>
  <c r="C51" i="11"/>
  <c r="B51" i="11"/>
  <c r="BW55" i="2"/>
  <c r="J50" i="11"/>
  <c r="I50" i="11"/>
  <c r="H50" i="11"/>
  <c r="G50" i="11"/>
  <c r="F50" i="11"/>
  <c r="E50" i="11"/>
  <c r="D50" i="11"/>
  <c r="C50" i="11"/>
  <c r="B50" i="11"/>
  <c r="BW54" i="2"/>
  <c r="J49" i="11"/>
  <c r="I49" i="11"/>
  <c r="H49" i="11"/>
  <c r="G49" i="11"/>
  <c r="F49" i="11"/>
  <c r="E49" i="11"/>
  <c r="D49" i="11"/>
  <c r="C49" i="11"/>
  <c r="B49" i="11"/>
  <c r="BW53" i="2"/>
  <c r="J48" i="11"/>
  <c r="I48" i="11"/>
  <c r="H48" i="11"/>
  <c r="G48" i="11"/>
  <c r="F48" i="11"/>
  <c r="E48" i="11"/>
  <c r="D48" i="11"/>
  <c r="C48" i="11"/>
  <c r="B48" i="11"/>
  <c r="BW52" i="2"/>
  <c r="J47" i="11"/>
  <c r="I47" i="11"/>
  <c r="H47" i="11"/>
  <c r="G47" i="11"/>
  <c r="F47" i="11"/>
  <c r="E47" i="11"/>
  <c r="D47" i="11"/>
  <c r="C47" i="11"/>
  <c r="B47" i="11"/>
  <c r="BW51" i="2"/>
  <c r="J46" i="11"/>
  <c r="I46" i="11"/>
  <c r="H46" i="11"/>
  <c r="G46" i="11"/>
  <c r="F46" i="11"/>
  <c r="E46" i="11"/>
  <c r="D46" i="11"/>
  <c r="C46" i="11"/>
  <c r="B46" i="11"/>
  <c r="BW50" i="2"/>
  <c r="J45" i="11"/>
  <c r="I45" i="11"/>
  <c r="H45" i="11"/>
  <c r="G45" i="11"/>
  <c r="F45" i="11"/>
  <c r="E45" i="11"/>
  <c r="D45" i="11"/>
  <c r="C45" i="11"/>
  <c r="B45" i="11"/>
  <c r="BW49" i="2"/>
  <c r="J44" i="11"/>
  <c r="I44" i="11"/>
  <c r="H44" i="11"/>
  <c r="G44" i="11"/>
  <c r="F44" i="11"/>
  <c r="E44" i="11"/>
  <c r="D44" i="11"/>
  <c r="C44" i="11"/>
  <c r="B44" i="11"/>
  <c r="BW48" i="2"/>
  <c r="J43" i="11"/>
  <c r="I43" i="11"/>
  <c r="H43" i="11"/>
  <c r="G43" i="11"/>
  <c r="F43" i="11"/>
  <c r="E43" i="11"/>
  <c r="D43" i="11"/>
  <c r="C43" i="11"/>
  <c r="B43" i="11"/>
  <c r="BW47" i="2"/>
  <c r="J42" i="11"/>
  <c r="I42" i="11"/>
  <c r="H42" i="11"/>
  <c r="G42" i="11"/>
  <c r="F42" i="11"/>
  <c r="E42" i="11"/>
  <c r="D42" i="11"/>
  <c r="C42" i="11"/>
  <c r="B42" i="11"/>
  <c r="BW46" i="2"/>
  <c r="J41" i="11"/>
  <c r="I41" i="11"/>
  <c r="H41" i="11"/>
  <c r="G41" i="11"/>
  <c r="F41" i="11"/>
  <c r="E41" i="11"/>
  <c r="D41" i="11"/>
  <c r="C41" i="11"/>
  <c r="B41" i="11"/>
  <c r="BW45" i="2"/>
  <c r="J40" i="11"/>
  <c r="I40" i="11"/>
  <c r="H40" i="11"/>
  <c r="G40" i="11"/>
  <c r="F40" i="11"/>
  <c r="E40" i="11"/>
  <c r="D40" i="11"/>
  <c r="C40" i="11"/>
  <c r="B40" i="11"/>
  <c r="BW44" i="2"/>
  <c r="J39" i="11"/>
  <c r="I39" i="11"/>
  <c r="H39" i="11"/>
  <c r="G39" i="11"/>
  <c r="F39" i="11"/>
  <c r="E39" i="11"/>
  <c r="D39" i="11"/>
  <c r="C39" i="11"/>
  <c r="B39" i="11"/>
  <c r="BW43" i="2"/>
  <c r="J38" i="11"/>
  <c r="I38" i="11"/>
  <c r="H38" i="11"/>
  <c r="G38" i="11"/>
  <c r="F38" i="11"/>
  <c r="E38" i="11"/>
  <c r="D38" i="11"/>
  <c r="C38" i="11"/>
  <c r="B38" i="11"/>
  <c r="BW42" i="2"/>
  <c r="J37" i="11"/>
  <c r="I37" i="11"/>
  <c r="H37" i="11"/>
  <c r="G37" i="11"/>
  <c r="F37" i="11"/>
  <c r="E37" i="11"/>
  <c r="D37" i="11"/>
  <c r="C37" i="11"/>
  <c r="B37" i="11"/>
  <c r="BW41" i="2"/>
  <c r="J36" i="11"/>
  <c r="I36" i="11"/>
  <c r="H36" i="11"/>
  <c r="G36" i="11"/>
  <c r="F36" i="11"/>
  <c r="E36" i="11"/>
  <c r="D36" i="11"/>
  <c r="C36" i="11"/>
  <c r="B36" i="11"/>
  <c r="BW40" i="2"/>
  <c r="J35" i="11"/>
  <c r="I35" i="11"/>
  <c r="H35" i="11"/>
  <c r="G35" i="11"/>
  <c r="F35" i="11"/>
  <c r="E35" i="11"/>
  <c r="D35" i="11"/>
  <c r="C35" i="11"/>
  <c r="B35" i="11"/>
  <c r="BW39" i="2"/>
  <c r="J34" i="11"/>
  <c r="I34" i="11"/>
  <c r="H34" i="11"/>
  <c r="G34" i="11"/>
  <c r="F34" i="11"/>
  <c r="E34" i="11"/>
  <c r="D34" i="11"/>
  <c r="C34" i="11"/>
  <c r="B34" i="11"/>
  <c r="BW38" i="2"/>
  <c r="J33" i="11"/>
  <c r="I33" i="11"/>
  <c r="H33" i="11"/>
  <c r="G33" i="11"/>
  <c r="F33" i="11"/>
  <c r="E33" i="11"/>
  <c r="D33" i="11"/>
  <c r="C33" i="11"/>
  <c r="B33" i="11"/>
  <c r="BW37" i="2"/>
  <c r="J32" i="11"/>
  <c r="I32" i="11"/>
  <c r="H32" i="11"/>
  <c r="G32" i="11"/>
  <c r="F32" i="11"/>
  <c r="E32" i="11"/>
  <c r="D32" i="11"/>
  <c r="C32" i="11"/>
  <c r="B32" i="11"/>
  <c r="BW36" i="2"/>
  <c r="J31" i="11"/>
  <c r="I31" i="11"/>
  <c r="H31" i="11"/>
  <c r="G31" i="11"/>
  <c r="F31" i="11"/>
  <c r="E31" i="11"/>
  <c r="D31" i="11"/>
  <c r="C31" i="11"/>
  <c r="B31" i="11"/>
  <c r="BW35" i="2"/>
  <c r="J30" i="11"/>
  <c r="I30" i="11"/>
  <c r="H30" i="11"/>
  <c r="G30" i="11"/>
  <c r="F30" i="11"/>
  <c r="E30" i="11"/>
  <c r="D30" i="11"/>
  <c r="C30" i="11"/>
  <c r="B30" i="11"/>
  <c r="BW34" i="2"/>
  <c r="J29" i="11"/>
  <c r="I29" i="11"/>
  <c r="H29" i="11"/>
  <c r="G29" i="11"/>
  <c r="F29" i="11"/>
  <c r="E29" i="11"/>
  <c r="D29" i="11"/>
  <c r="C29" i="11"/>
  <c r="B29" i="11"/>
  <c r="BW33" i="2"/>
  <c r="J28" i="11"/>
  <c r="I28" i="11"/>
  <c r="H28" i="11"/>
  <c r="G28" i="11"/>
  <c r="F28" i="11"/>
  <c r="E28" i="11"/>
  <c r="D28" i="11"/>
  <c r="C28" i="11"/>
  <c r="B28" i="11"/>
  <c r="BW32" i="2"/>
  <c r="J27" i="11"/>
  <c r="I27" i="11"/>
  <c r="H27" i="11"/>
  <c r="G27" i="11"/>
  <c r="F27" i="11"/>
  <c r="E27" i="11"/>
  <c r="D27" i="11"/>
  <c r="C27" i="11"/>
  <c r="B27" i="11"/>
  <c r="BW31" i="2"/>
  <c r="J26" i="11"/>
  <c r="I26" i="11"/>
  <c r="H26" i="11"/>
  <c r="G26" i="11"/>
  <c r="F26" i="11"/>
  <c r="E26" i="11"/>
  <c r="D26" i="11"/>
  <c r="C26" i="11"/>
  <c r="B26" i="11"/>
  <c r="BW30" i="2"/>
  <c r="J25" i="11"/>
  <c r="I25" i="11"/>
  <c r="H25" i="11"/>
  <c r="G25" i="11"/>
  <c r="F25" i="11"/>
  <c r="E25" i="11"/>
  <c r="D25" i="11"/>
  <c r="C25" i="11"/>
  <c r="B25" i="11"/>
  <c r="BW29" i="2"/>
  <c r="J24" i="11"/>
  <c r="I24" i="11"/>
  <c r="H24" i="11"/>
  <c r="G24" i="11"/>
  <c r="F24" i="11"/>
  <c r="E24" i="11"/>
  <c r="D24" i="11"/>
  <c r="C24" i="11"/>
  <c r="B24" i="11"/>
  <c r="BW28" i="2"/>
  <c r="J23" i="11"/>
  <c r="I23" i="11"/>
  <c r="H23" i="11"/>
  <c r="G23" i="11"/>
  <c r="F23" i="11"/>
  <c r="E23" i="11"/>
  <c r="D23" i="11"/>
  <c r="C23" i="11"/>
  <c r="B23" i="11"/>
  <c r="BW27" i="2"/>
  <c r="J22" i="11"/>
  <c r="I22" i="11"/>
  <c r="H22" i="11"/>
  <c r="G22" i="11"/>
  <c r="F22" i="11"/>
  <c r="E22" i="11"/>
  <c r="D22" i="11"/>
  <c r="C22" i="11"/>
  <c r="B22" i="11"/>
  <c r="BW26" i="2"/>
  <c r="J21" i="11"/>
  <c r="I21" i="11"/>
  <c r="H21" i="11"/>
  <c r="G21" i="11"/>
  <c r="F21" i="11"/>
  <c r="E21" i="11"/>
  <c r="D21" i="11"/>
  <c r="C21" i="11"/>
  <c r="B21" i="11"/>
  <c r="BW25" i="2"/>
  <c r="J20" i="11"/>
  <c r="I20" i="11"/>
  <c r="H20" i="11"/>
  <c r="G20" i="11"/>
  <c r="F20" i="11"/>
  <c r="E20" i="11"/>
  <c r="D20" i="11"/>
  <c r="C20" i="11"/>
  <c r="B20" i="11"/>
  <c r="BW24" i="2"/>
  <c r="J19" i="11"/>
  <c r="I19" i="11"/>
  <c r="H19" i="11"/>
  <c r="G19" i="11"/>
  <c r="F19" i="11"/>
  <c r="E19" i="11"/>
  <c r="D19" i="11"/>
  <c r="C19" i="11"/>
  <c r="B19" i="11"/>
  <c r="BW23" i="2"/>
  <c r="J18" i="11"/>
  <c r="I18" i="11"/>
  <c r="H18" i="11"/>
  <c r="G18" i="11"/>
  <c r="F18" i="11"/>
  <c r="E18" i="11"/>
  <c r="D18" i="11"/>
  <c r="C18" i="11"/>
  <c r="B18" i="11"/>
  <c r="BW22" i="2"/>
  <c r="J17" i="11"/>
  <c r="I17" i="11"/>
  <c r="H17" i="11"/>
  <c r="G17" i="11"/>
  <c r="F17" i="11"/>
  <c r="E17" i="11"/>
  <c r="D17" i="11"/>
  <c r="C17" i="11"/>
  <c r="B17" i="11"/>
  <c r="BW21" i="2"/>
  <c r="J16" i="11"/>
  <c r="I16" i="11"/>
  <c r="H16" i="11"/>
  <c r="G16" i="11"/>
  <c r="F16" i="11"/>
  <c r="E16" i="11"/>
  <c r="D16" i="11"/>
  <c r="C16" i="11"/>
  <c r="B16" i="11"/>
  <c r="BW20" i="2"/>
  <c r="J15" i="11"/>
  <c r="I15" i="11"/>
  <c r="H15" i="11"/>
  <c r="G15" i="11"/>
  <c r="F15" i="11"/>
  <c r="E15" i="11"/>
  <c r="D15" i="11"/>
  <c r="C15" i="11"/>
  <c r="B15" i="11"/>
  <c r="BW19" i="2"/>
  <c r="J14" i="11"/>
  <c r="I14" i="11"/>
  <c r="H14" i="11"/>
  <c r="G14" i="11"/>
  <c r="F14" i="11"/>
  <c r="E14" i="11"/>
  <c r="D14" i="11"/>
  <c r="C14" i="11"/>
  <c r="B14" i="11"/>
  <c r="BW18" i="2"/>
  <c r="J13" i="11"/>
  <c r="I13" i="11"/>
  <c r="H13" i="11"/>
  <c r="G13" i="11"/>
  <c r="F13" i="11"/>
  <c r="E13" i="11"/>
  <c r="D13" i="11"/>
  <c r="C13" i="11"/>
  <c r="B13" i="11"/>
  <c r="BW17" i="2"/>
  <c r="J12" i="11"/>
  <c r="I12" i="11"/>
  <c r="H12" i="11"/>
  <c r="G12" i="11"/>
  <c r="F12" i="11"/>
  <c r="E12" i="11"/>
  <c r="D12" i="11"/>
  <c r="C12" i="11"/>
  <c r="B12" i="11"/>
  <c r="BW16" i="2"/>
  <c r="J11" i="11"/>
  <c r="I11" i="11"/>
  <c r="H11" i="11"/>
  <c r="G11" i="11"/>
  <c r="F11" i="11"/>
  <c r="E11" i="11"/>
  <c r="D11" i="11"/>
  <c r="C11" i="11"/>
  <c r="B11" i="11"/>
  <c r="BW15" i="2"/>
  <c r="J10" i="11"/>
  <c r="I10" i="11"/>
  <c r="H10" i="11"/>
  <c r="G10" i="11"/>
  <c r="F10" i="11"/>
  <c r="E10" i="11"/>
  <c r="D10" i="11"/>
  <c r="C10" i="11"/>
  <c r="B10" i="11"/>
  <c r="BU11" i="2"/>
  <c r="BU14" i="2" a="1"/>
  <c r="BU14" i="2"/>
  <c r="BU15" i="2" a="1"/>
  <c r="BU15" i="2"/>
  <c r="BU16" i="2" a="1"/>
  <c r="BU17" i="2" a="1"/>
  <c r="BU18" i="2" a="1"/>
  <c r="BU19" i="2" a="1"/>
  <c r="BU20" i="2" a="1"/>
  <c r="BU21" i="2" a="1"/>
  <c r="BU22" i="2" a="1"/>
  <c r="BU23" i="2" a="1"/>
  <c r="BU24" i="2" a="1"/>
  <c r="BU25" i="2" a="1"/>
  <c r="BU26" i="2" a="1"/>
  <c r="BU27" i="2" a="1"/>
  <c r="BU28" i="2" a="1"/>
  <c r="BU29" i="2" a="1"/>
  <c r="BU30" i="2" a="1"/>
  <c r="BU31" i="2" a="1"/>
  <c r="BU32" i="2" a="1"/>
  <c r="BU33" i="2" a="1"/>
  <c r="BU34" i="2" a="1"/>
  <c r="BU35" i="2" a="1"/>
  <c r="BU36" i="2" a="1"/>
  <c r="BU37" i="2" a="1"/>
  <c r="BU38" i="2" a="1"/>
  <c r="BU39" i="2" a="1"/>
  <c r="BU40" i="2" a="1"/>
  <c r="BU41" i="2" a="1"/>
  <c r="BU42" i="2" a="1"/>
  <c r="BU43" i="2" a="1"/>
  <c r="BU44" i="2" a="1"/>
  <c r="BU45" i="2" a="1"/>
  <c r="BU46" i="2" a="1"/>
  <c r="BU47" i="2" a="1"/>
  <c r="BU48" i="2" a="1"/>
  <c r="BU49" i="2" a="1"/>
  <c r="BU50" i="2" a="1"/>
  <c r="BU51" i="2" a="1"/>
  <c r="BU52" i="2" a="1"/>
  <c r="BU53" i="2" a="1"/>
  <c r="BU54" i="2" a="1"/>
  <c r="BU55" i="2" a="1"/>
  <c r="BU56" i="2" a="1"/>
  <c r="BU57" i="2" a="1"/>
  <c r="BU58" i="2" a="1"/>
  <c r="BU59" i="2" a="1"/>
  <c r="BU60" i="2" a="1"/>
  <c r="BU61" i="2" a="1"/>
  <c r="BU62" i="2" a="1"/>
  <c r="BU63" i="2" a="1"/>
  <c r="BU64" i="2" a="1"/>
  <c r="BU65" i="2" a="1"/>
  <c r="BU66" i="2" a="1"/>
  <c r="BU67" i="2" a="1"/>
  <c r="BU68" i="2" a="1"/>
  <c r="BU69" i="2" a="1"/>
  <c r="BU70" i="2" a="1"/>
  <c r="BU71" i="2" a="1"/>
  <c r="BU72" i="2" a="1"/>
  <c r="BU73" i="2" a="1"/>
  <c r="BU74" i="2" a="1"/>
  <c r="BU75" i="2" a="1"/>
  <c r="BU76" i="2" a="1"/>
  <c r="BU77" i="2" a="1"/>
  <c r="BU78" i="2" a="1"/>
  <c r="BU79" i="2" a="1"/>
  <c r="BU80" i="2" a="1"/>
  <c r="BU81" i="2" a="1"/>
  <c r="BU82" i="2" a="1"/>
  <c r="BU83" i="2" a="1"/>
  <c r="BU84" i="2" a="1"/>
  <c r="BU85" i="2" a="1"/>
  <c r="BU86" i="2" a="1"/>
  <c r="BU87" i="2" a="1"/>
  <c r="BU88" i="2" a="1"/>
  <c r="BU89" i="2" a="1"/>
  <c r="BU90" i="2" a="1"/>
  <c r="BU91" i="2" a="1"/>
  <c r="BU92" i="2" a="1"/>
  <c r="BU93" i="2" a="1"/>
  <c r="BU94" i="2" a="1"/>
  <c r="BU95" i="2" a="1"/>
  <c r="BU96" i="2" a="1"/>
  <c r="BU97" i="2" a="1"/>
  <c r="BU98" i="2" a="1"/>
  <c r="BU99" i="2" a="1"/>
  <c r="BU100" i="2" a="1"/>
  <c r="BU101" i="2" a="1"/>
  <c r="BU102" i="2" a="1"/>
  <c r="BU103" i="2" a="1"/>
  <c r="BU104" i="2" a="1"/>
  <c r="BU105" i="2" a="1"/>
  <c r="BU106" i="2" a="1"/>
  <c r="BU107" i="2" a="1"/>
  <c r="BU108" i="2" a="1"/>
  <c r="BU109" i="2" a="1"/>
  <c r="BU110" i="2" a="1"/>
  <c r="BU111" i="2" a="1"/>
  <c r="BU112" i="2" a="1"/>
  <c r="BU113" i="2" a="1"/>
  <c r="BU114" i="2" a="1"/>
  <c r="BU115" i="2" a="1"/>
  <c r="BU116" i="2" a="1"/>
  <c r="BU117" i="2" a="1"/>
  <c r="BU118" i="2" a="1"/>
  <c r="BU119" i="2" a="1"/>
  <c r="BU120" i="2" a="1"/>
  <c r="BU121" i="2" a="1"/>
  <c r="BU122" i="2" a="1"/>
  <c r="BU123" i="2" a="1"/>
  <c r="BU16" i="2"/>
  <c r="BU17" i="2"/>
  <c r="BU18" i="2"/>
  <c r="BU19" i="2"/>
  <c r="BU20" i="2"/>
  <c r="BU21" i="2"/>
  <c r="BU22" i="2"/>
  <c r="BU23" i="2"/>
  <c r="BU24" i="2"/>
  <c r="BU25" i="2"/>
  <c r="BU26" i="2"/>
  <c r="BU27" i="2"/>
  <c r="BU28" i="2"/>
  <c r="BU29" i="2"/>
  <c r="BU30" i="2"/>
  <c r="BU31" i="2"/>
  <c r="BU32" i="2"/>
  <c r="BU33" i="2"/>
  <c r="BU34" i="2"/>
  <c r="BU35" i="2"/>
  <c r="BU36" i="2"/>
  <c r="BU37" i="2"/>
  <c r="BU38" i="2"/>
  <c r="BU39" i="2"/>
  <c r="BU40" i="2"/>
  <c r="BU41" i="2"/>
  <c r="BU42" i="2"/>
  <c r="BU43" i="2"/>
  <c r="BU44" i="2"/>
  <c r="BU45" i="2"/>
  <c r="BU46" i="2"/>
  <c r="BU47" i="2"/>
  <c r="BU48" i="2"/>
  <c r="BU49" i="2"/>
  <c r="BU50" i="2"/>
  <c r="BU51" i="2"/>
  <c r="BU52" i="2"/>
  <c r="BU53" i="2"/>
  <c r="BU54" i="2"/>
  <c r="BU55" i="2"/>
  <c r="BU56" i="2"/>
  <c r="BU57" i="2"/>
  <c r="BU58" i="2"/>
  <c r="BU59" i="2"/>
  <c r="BU60" i="2"/>
  <c r="BU61" i="2"/>
  <c r="BU62" i="2"/>
  <c r="BU63" i="2"/>
  <c r="BU64" i="2"/>
  <c r="BU65" i="2"/>
  <c r="BU66" i="2"/>
  <c r="BU67" i="2"/>
  <c r="BU68" i="2"/>
  <c r="BU69" i="2"/>
  <c r="BU70" i="2"/>
  <c r="BU71" i="2"/>
  <c r="BU72" i="2"/>
  <c r="BU73" i="2"/>
  <c r="BU74" i="2"/>
  <c r="BU75" i="2"/>
  <c r="BU76" i="2"/>
  <c r="BU77" i="2"/>
  <c r="BU78" i="2"/>
  <c r="BU79" i="2"/>
  <c r="BU80" i="2"/>
  <c r="BU81" i="2"/>
  <c r="BU82" i="2"/>
  <c r="BU83" i="2"/>
  <c r="BU84" i="2"/>
  <c r="BU85" i="2"/>
  <c r="BU86" i="2"/>
  <c r="BU87" i="2"/>
  <c r="BU88" i="2"/>
  <c r="BU89" i="2"/>
  <c r="BU90" i="2"/>
  <c r="BU91" i="2"/>
  <c r="BU92" i="2"/>
  <c r="BU93" i="2"/>
  <c r="BU94" i="2"/>
  <c r="BU95" i="2"/>
  <c r="BU96" i="2"/>
  <c r="BU97" i="2"/>
  <c r="BU98" i="2"/>
  <c r="BU99" i="2"/>
  <c r="BU100" i="2"/>
  <c r="BU101" i="2"/>
  <c r="BU102" i="2"/>
  <c r="BU103" i="2"/>
  <c r="BU104" i="2"/>
  <c r="BU105" i="2"/>
  <c r="BU106" i="2"/>
  <c r="BU107" i="2"/>
  <c r="BU108" i="2"/>
  <c r="BU109" i="2"/>
  <c r="BU110" i="2"/>
  <c r="BU111" i="2"/>
  <c r="BU112" i="2"/>
  <c r="BU113" i="2"/>
  <c r="BU114" i="2"/>
  <c r="BU115" i="2"/>
  <c r="BU116" i="2"/>
  <c r="BU117" i="2"/>
  <c r="BU118" i="2"/>
  <c r="BU119" i="2"/>
  <c r="BU120" i="2"/>
  <c r="BU121" i="2"/>
  <c r="BU122" i="2"/>
  <c r="BU123" i="2"/>
  <c r="BW14" i="2"/>
  <c r="J9" i="11"/>
  <c r="I9" i="11"/>
  <c r="H9" i="11"/>
  <c r="G9" i="11"/>
  <c r="F9" i="11"/>
  <c r="E9" i="11"/>
  <c r="D9" i="11"/>
  <c r="C9" i="11"/>
  <c r="B9" i="11"/>
  <c r="BS9" i="2"/>
  <c r="BS11" i="2"/>
  <c r="BS53" i="2"/>
  <c r="J49" i="9"/>
  <c r="H49" i="9"/>
  <c r="G49" i="9"/>
  <c r="E49" i="9"/>
  <c r="C49" i="9"/>
  <c r="B49" i="9"/>
  <c r="BS52" i="2"/>
  <c r="J48" i="9"/>
  <c r="H48" i="9"/>
  <c r="G48" i="9"/>
  <c r="E48" i="9"/>
  <c r="C48" i="9"/>
  <c r="B48" i="9"/>
  <c r="BS51" i="2"/>
  <c r="J47" i="9"/>
  <c r="H47" i="9"/>
  <c r="G47" i="9"/>
  <c r="E47" i="9"/>
  <c r="C47" i="9"/>
  <c r="B47" i="9"/>
  <c r="BS50" i="2"/>
  <c r="J46" i="9"/>
  <c r="H46" i="9"/>
  <c r="G46" i="9"/>
  <c r="E46" i="9"/>
  <c r="C46" i="9"/>
  <c r="B46" i="9"/>
  <c r="BS49" i="2"/>
  <c r="J45" i="9"/>
  <c r="H45" i="9"/>
  <c r="G45" i="9"/>
  <c r="E45" i="9"/>
  <c r="C45" i="9"/>
  <c r="B45" i="9"/>
  <c r="BS48" i="2"/>
  <c r="J44" i="9"/>
  <c r="H44" i="9"/>
  <c r="G44" i="9"/>
  <c r="E44" i="9"/>
  <c r="C44" i="9"/>
  <c r="B44" i="9"/>
  <c r="BS47" i="2"/>
  <c r="J43" i="9"/>
  <c r="H43" i="9"/>
  <c r="G43" i="9"/>
  <c r="E43" i="9"/>
  <c r="C43" i="9"/>
  <c r="B43" i="9"/>
  <c r="BS46" i="2"/>
  <c r="J42" i="9"/>
  <c r="H42" i="9"/>
  <c r="G42" i="9"/>
  <c r="E42" i="9"/>
  <c r="C42" i="9"/>
  <c r="B42" i="9"/>
  <c r="BS45" i="2"/>
  <c r="J41" i="9"/>
  <c r="H41" i="9"/>
  <c r="G41" i="9"/>
  <c r="E41" i="9"/>
  <c r="C41" i="9"/>
  <c r="B41" i="9"/>
  <c r="BS44" i="2"/>
  <c r="J40" i="9"/>
  <c r="H40" i="9"/>
  <c r="G40" i="9"/>
  <c r="E40" i="9"/>
  <c r="C40" i="9"/>
  <c r="B40" i="9"/>
  <c r="BQ11" i="2"/>
  <c r="BQ14" i="2" a="1"/>
  <c r="BQ14" i="2"/>
  <c r="BQ15" i="2" a="1"/>
  <c r="BQ15" i="2"/>
  <c r="BQ16" i="2" a="1"/>
  <c r="BQ17" i="2" a="1"/>
  <c r="BQ18" i="2" a="1"/>
  <c r="BQ19" i="2" a="1"/>
  <c r="BQ20" i="2" a="1"/>
  <c r="BQ21" i="2" a="1"/>
  <c r="BQ22" i="2" a="1"/>
  <c r="BQ23" i="2" a="1"/>
  <c r="BQ24" i="2" a="1"/>
  <c r="BQ25" i="2" a="1"/>
  <c r="BQ26" i="2" a="1"/>
  <c r="BQ27" i="2" a="1"/>
  <c r="BQ28" i="2" a="1"/>
  <c r="BQ29" i="2" a="1"/>
  <c r="BQ30" i="2" a="1"/>
  <c r="BQ31" i="2" a="1"/>
  <c r="BQ32" i="2" a="1"/>
  <c r="BQ33" i="2" a="1"/>
  <c r="BQ34" i="2" a="1"/>
  <c r="BQ35" i="2" a="1"/>
  <c r="BQ36" i="2" a="1"/>
  <c r="BQ37" i="2" a="1"/>
  <c r="BQ38" i="2" a="1"/>
  <c r="BQ39" i="2" a="1"/>
  <c r="BQ40" i="2" a="1"/>
  <c r="BQ41" i="2" a="1"/>
  <c r="BQ42" i="2" a="1"/>
  <c r="BQ43" i="2" a="1"/>
  <c r="BQ44" i="2" a="1"/>
  <c r="BQ45" i="2" a="1"/>
  <c r="BQ46" i="2" a="1"/>
  <c r="BQ47" i="2" a="1"/>
  <c r="BQ48" i="2" a="1"/>
  <c r="BQ49" i="2" a="1"/>
  <c r="BQ50" i="2" a="1"/>
  <c r="BQ51" i="2" a="1"/>
  <c r="BQ52" i="2" a="1"/>
  <c r="BQ53" i="2" a="1"/>
  <c r="BQ54" i="2" a="1"/>
  <c r="BQ55" i="2" a="1"/>
  <c r="BQ56" i="2" a="1"/>
  <c r="BQ57" i="2" a="1"/>
  <c r="BQ58" i="2" a="1"/>
  <c r="BQ59" i="2" a="1"/>
  <c r="BQ60" i="2" a="1"/>
  <c r="BQ61" i="2" a="1"/>
  <c r="BQ62" i="2" a="1"/>
  <c r="BQ63" i="2" a="1"/>
  <c r="BQ64" i="2" a="1"/>
  <c r="BQ65" i="2" a="1"/>
  <c r="BQ66" i="2" a="1"/>
  <c r="BQ67" i="2" a="1"/>
  <c r="BQ68" i="2" a="1"/>
  <c r="BQ69" i="2" a="1"/>
  <c r="BQ70" i="2" a="1"/>
  <c r="BQ71" i="2" a="1"/>
  <c r="BQ72" i="2" a="1"/>
  <c r="BQ73" i="2" a="1"/>
  <c r="BQ74" i="2" a="1"/>
  <c r="BQ75" i="2" a="1"/>
  <c r="BQ76" i="2" a="1"/>
  <c r="BQ77" i="2" a="1"/>
  <c r="BQ78" i="2" a="1"/>
  <c r="BQ79" i="2" a="1"/>
  <c r="BQ80" i="2" a="1"/>
  <c r="BQ81" i="2" a="1"/>
  <c r="BQ82" i="2" a="1"/>
  <c r="BQ83" i="2" a="1"/>
  <c r="BQ84" i="2" a="1"/>
  <c r="BQ85" i="2" a="1"/>
  <c r="BQ86" i="2" a="1"/>
  <c r="BQ87" i="2" a="1"/>
  <c r="BQ88" i="2" a="1"/>
  <c r="BQ89" i="2" a="1"/>
  <c r="BQ90" i="2" a="1"/>
  <c r="BQ91" i="2" a="1"/>
  <c r="BQ92" i="2" a="1"/>
  <c r="BQ93" i="2" a="1"/>
  <c r="BQ94" i="2" a="1"/>
  <c r="BQ95" i="2" a="1"/>
  <c r="BQ96" i="2" a="1"/>
  <c r="BQ97" i="2" a="1"/>
  <c r="BQ98" i="2" a="1"/>
  <c r="BQ99" i="2" a="1"/>
  <c r="BQ100" i="2" a="1"/>
  <c r="BQ101" i="2" a="1"/>
  <c r="BQ102" i="2" a="1"/>
  <c r="BQ103" i="2" a="1"/>
  <c r="BQ104" i="2" a="1"/>
  <c r="BQ105" i="2" a="1"/>
  <c r="BQ106" i="2" a="1"/>
  <c r="BQ107" i="2" a="1"/>
  <c r="BQ108" i="2" a="1"/>
  <c r="BQ109" i="2" a="1"/>
  <c r="BQ110" i="2" a="1"/>
  <c r="BQ111" i="2" a="1"/>
  <c r="BQ112" i="2" a="1"/>
  <c r="BQ113" i="2" a="1"/>
  <c r="BQ114" i="2" a="1"/>
  <c r="BQ115" i="2" a="1"/>
  <c r="BQ116" i="2" a="1"/>
  <c r="BQ117" i="2" a="1"/>
  <c r="BQ118" i="2" a="1"/>
  <c r="BQ119" i="2" a="1"/>
  <c r="BQ120" i="2" a="1"/>
  <c r="BQ121" i="2" a="1"/>
  <c r="BQ122" i="2" a="1"/>
  <c r="BQ123" i="2" a="1"/>
  <c r="BQ16" i="2"/>
  <c r="BQ17" i="2"/>
  <c r="BQ18" i="2"/>
  <c r="BQ19" i="2"/>
  <c r="BQ20" i="2"/>
  <c r="BQ21" i="2"/>
  <c r="BQ22" i="2"/>
  <c r="BQ23" i="2"/>
  <c r="BQ24" i="2"/>
  <c r="BQ25" i="2"/>
  <c r="BQ26" i="2"/>
  <c r="BQ27" i="2"/>
  <c r="BQ28" i="2"/>
  <c r="BQ29" i="2"/>
  <c r="BQ30" i="2"/>
  <c r="BQ31" i="2"/>
  <c r="BQ32" i="2"/>
  <c r="BQ33" i="2"/>
  <c r="BQ34" i="2"/>
  <c r="BQ35" i="2"/>
  <c r="BQ36" i="2"/>
  <c r="BQ37" i="2"/>
  <c r="BQ38" i="2"/>
  <c r="BQ39" i="2"/>
  <c r="BQ40" i="2"/>
  <c r="BQ41" i="2"/>
  <c r="BQ42" i="2"/>
  <c r="BQ43" i="2"/>
  <c r="BQ44" i="2"/>
  <c r="BQ45" i="2"/>
  <c r="BQ46" i="2"/>
  <c r="BQ47" i="2"/>
  <c r="BQ48" i="2"/>
  <c r="BQ49" i="2"/>
  <c r="BQ50" i="2"/>
  <c r="BQ51" i="2"/>
  <c r="BQ52" i="2"/>
  <c r="BQ53" i="2"/>
  <c r="BQ54" i="2"/>
  <c r="BQ55" i="2"/>
  <c r="BQ56" i="2"/>
  <c r="BQ57" i="2"/>
  <c r="BQ58" i="2"/>
  <c r="BQ59" i="2"/>
  <c r="BQ60" i="2"/>
  <c r="BQ61" i="2"/>
  <c r="BQ62" i="2"/>
  <c r="BQ63" i="2"/>
  <c r="BQ64" i="2"/>
  <c r="BQ65" i="2"/>
  <c r="BQ66" i="2"/>
  <c r="BQ67" i="2"/>
  <c r="BQ68" i="2"/>
  <c r="BQ69" i="2"/>
  <c r="BQ70" i="2"/>
  <c r="BQ71" i="2"/>
  <c r="BQ72" i="2"/>
  <c r="BQ73" i="2"/>
  <c r="BQ74" i="2"/>
  <c r="BQ75" i="2"/>
  <c r="BQ76" i="2"/>
  <c r="BQ77" i="2"/>
  <c r="BQ78" i="2"/>
  <c r="BQ79" i="2"/>
  <c r="BQ80" i="2"/>
  <c r="BQ81" i="2"/>
  <c r="BQ82" i="2"/>
  <c r="BQ83" i="2"/>
  <c r="BQ84" i="2"/>
  <c r="BQ85" i="2"/>
  <c r="BQ86" i="2"/>
  <c r="BQ87" i="2"/>
  <c r="BQ88" i="2"/>
  <c r="BQ89" i="2"/>
  <c r="BQ90" i="2"/>
  <c r="BQ91" i="2"/>
  <c r="BQ92" i="2"/>
  <c r="BQ93" i="2"/>
  <c r="BQ94" i="2"/>
  <c r="BQ95" i="2"/>
  <c r="BQ96" i="2"/>
  <c r="BQ97" i="2"/>
  <c r="BQ98" i="2"/>
  <c r="BQ99" i="2"/>
  <c r="BQ100" i="2"/>
  <c r="BQ101" i="2"/>
  <c r="BQ102" i="2"/>
  <c r="BQ103" i="2"/>
  <c r="BQ104" i="2"/>
  <c r="BQ105" i="2"/>
  <c r="BQ106" i="2"/>
  <c r="BQ107" i="2"/>
  <c r="BQ108" i="2"/>
  <c r="BQ109" i="2"/>
  <c r="BQ110" i="2"/>
  <c r="BQ111" i="2"/>
  <c r="BQ112" i="2"/>
  <c r="BQ113" i="2"/>
  <c r="BQ114" i="2"/>
  <c r="BQ115" i="2"/>
  <c r="BQ116" i="2"/>
  <c r="BQ117" i="2"/>
  <c r="BQ118" i="2"/>
  <c r="BQ119" i="2"/>
  <c r="BQ120" i="2"/>
  <c r="BQ121" i="2"/>
  <c r="BQ122" i="2"/>
  <c r="BQ123" i="2"/>
  <c r="BS43" i="2"/>
  <c r="J39" i="9"/>
  <c r="H39" i="9"/>
  <c r="G39" i="9"/>
  <c r="E39" i="9"/>
  <c r="C39" i="9"/>
  <c r="B39" i="9"/>
  <c r="BS42" i="2"/>
  <c r="J38" i="9"/>
  <c r="H38" i="9"/>
  <c r="G38" i="9"/>
  <c r="E38" i="9"/>
  <c r="C38" i="9"/>
  <c r="B38" i="9"/>
  <c r="BS41" i="2"/>
  <c r="J37" i="9"/>
  <c r="H37" i="9"/>
  <c r="G37" i="9"/>
  <c r="E37" i="9"/>
  <c r="C37" i="9"/>
  <c r="B37" i="9"/>
  <c r="BS40" i="2"/>
  <c r="J36" i="9"/>
  <c r="H36" i="9"/>
  <c r="G36" i="9"/>
  <c r="E36" i="9"/>
  <c r="C36" i="9"/>
  <c r="B36" i="9"/>
  <c r="BS39" i="2"/>
  <c r="J35" i="9"/>
  <c r="H35" i="9"/>
  <c r="G35" i="9"/>
  <c r="E35" i="9"/>
  <c r="C35" i="9"/>
  <c r="B35" i="9"/>
  <c r="BS38" i="2"/>
  <c r="J34" i="9"/>
  <c r="H34" i="9"/>
  <c r="G34" i="9"/>
  <c r="E34" i="9"/>
  <c r="C34" i="9"/>
  <c r="B34" i="9"/>
  <c r="BS37" i="2"/>
  <c r="J33" i="9"/>
  <c r="H33" i="9"/>
  <c r="G33" i="9"/>
  <c r="E33" i="9"/>
  <c r="C33" i="9"/>
  <c r="B33" i="9"/>
  <c r="BS36" i="2"/>
  <c r="J32" i="9"/>
  <c r="H32" i="9"/>
  <c r="G32" i="9"/>
  <c r="E32" i="9"/>
  <c r="C32" i="9"/>
  <c r="B32" i="9"/>
  <c r="BS35" i="2"/>
  <c r="J31" i="9"/>
  <c r="H31" i="9"/>
  <c r="G31" i="9"/>
  <c r="E31" i="9"/>
  <c r="C31" i="9"/>
  <c r="B31" i="9"/>
  <c r="BS34" i="2"/>
  <c r="J30" i="9"/>
  <c r="H30" i="9"/>
  <c r="G30" i="9"/>
  <c r="E30" i="9"/>
  <c r="C30" i="9"/>
  <c r="B30" i="9"/>
  <c r="BS33" i="2"/>
  <c r="J29" i="9"/>
  <c r="H29" i="9"/>
  <c r="G29" i="9"/>
  <c r="E29" i="9"/>
  <c r="C29" i="9"/>
  <c r="B29" i="9"/>
  <c r="BS32" i="2"/>
  <c r="J28" i="9"/>
  <c r="H28" i="9"/>
  <c r="G28" i="9"/>
  <c r="E28" i="9"/>
  <c r="C28" i="9"/>
  <c r="B28" i="9"/>
  <c r="BS31" i="2"/>
  <c r="J27" i="9"/>
  <c r="H27" i="9"/>
  <c r="G27" i="9"/>
  <c r="E27" i="9"/>
  <c r="C27" i="9"/>
  <c r="B27" i="9"/>
  <c r="BS30" i="2"/>
  <c r="J26" i="9"/>
  <c r="H26" i="9"/>
  <c r="G26" i="9"/>
  <c r="E26" i="9"/>
  <c r="C26" i="9"/>
  <c r="B26" i="9"/>
  <c r="BS29" i="2"/>
  <c r="J25" i="9"/>
  <c r="H25" i="9"/>
  <c r="G25" i="9"/>
  <c r="E25" i="9"/>
  <c r="C25" i="9"/>
  <c r="B25" i="9"/>
  <c r="BS28" i="2"/>
  <c r="J24" i="9"/>
  <c r="H24" i="9"/>
  <c r="G24" i="9"/>
  <c r="E24" i="9"/>
  <c r="C24" i="9"/>
  <c r="B24" i="9"/>
  <c r="BS27" i="2"/>
  <c r="J23" i="9"/>
  <c r="H23" i="9"/>
  <c r="G23" i="9"/>
  <c r="E23" i="9"/>
  <c r="C23" i="9"/>
  <c r="B23" i="9"/>
  <c r="BS26" i="2"/>
  <c r="J22" i="9"/>
  <c r="H22" i="9"/>
  <c r="G22" i="9"/>
  <c r="E22" i="9"/>
  <c r="C22" i="9"/>
  <c r="B22" i="9"/>
  <c r="BS25" i="2"/>
  <c r="J21" i="9"/>
  <c r="H21" i="9"/>
  <c r="G21" i="9"/>
  <c r="E21" i="9"/>
  <c r="C21" i="9"/>
  <c r="B21" i="9"/>
  <c r="BS24" i="2"/>
  <c r="J20" i="9"/>
  <c r="H20" i="9"/>
  <c r="G20" i="9"/>
  <c r="E20" i="9"/>
  <c r="C20" i="9"/>
  <c r="B20" i="9"/>
  <c r="BS23" i="2"/>
  <c r="J19" i="9"/>
  <c r="H19" i="9"/>
  <c r="G19" i="9"/>
  <c r="E19" i="9"/>
  <c r="C19" i="9"/>
  <c r="B19" i="9"/>
  <c r="BS22" i="2"/>
  <c r="J18" i="9"/>
  <c r="H18" i="9"/>
  <c r="G18" i="9"/>
  <c r="E18" i="9"/>
  <c r="C18" i="9"/>
  <c r="B18" i="9"/>
  <c r="BS21" i="2"/>
  <c r="J17" i="9"/>
  <c r="H17" i="9"/>
  <c r="G17" i="9"/>
  <c r="E17" i="9"/>
  <c r="C17" i="9"/>
  <c r="B17" i="9"/>
  <c r="BS20" i="2"/>
  <c r="J16" i="9"/>
  <c r="H16" i="9"/>
  <c r="G16" i="9"/>
  <c r="E16" i="9"/>
  <c r="C16" i="9"/>
  <c r="B16" i="9"/>
  <c r="BS19" i="2"/>
  <c r="J15" i="9"/>
  <c r="H15" i="9"/>
  <c r="G15" i="9"/>
  <c r="E15" i="9"/>
  <c r="C15" i="9"/>
  <c r="B15" i="9"/>
  <c r="BS18" i="2"/>
  <c r="J14" i="9"/>
  <c r="H14" i="9"/>
  <c r="G14" i="9"/>
  <c r="E14" i="9"/>
  <c r="C14" i="9"/>
  <c r="B14" i="9"/>
  <c r="BS17" i="2"/>
  <c r="J13" i="9"/>
  <c r="H13" i="9"/>
  <c r="G13" i="9"/>
  <c r="E13" i="9"/>
  <c r="C13" i="9"/>
  <c r="B13" i="9"/>
  <c r="BS16" i="2"/>
  <c r="J12" i="9"/>
  <c r="H12" i="9"/>
  <c r="G12" i="9"/>
  <c r="E12" i="9"/>
  <c r="C12" i="9"/>
  <c r="B12" i="9"/>
  <c r="BS15" i="2"/>
  <c r="J11" i="9"/>
  <c r="H11" i="9"/>
  <c r="G11" i="9"/>
  <c r="E11" i="9"/>
  <c r="C11" i="9"/>
  <c r="B11" i="9"/>
  <c r="BS14" i="2"/>
  <c r="J10" i="9"/>
  <c r="H10" i="9"/>
  <c r="G10" i="9"/>
  <c r="E10" i="9"/>
  <c r="C10" i="9"/>
  <c r="B10" i="9"/>
  <c r="BO9" i="2"/>
  <c r="BO11" i="2"/>
  <c r="BO53" i="2"/>
  <c r="J49" i="8"/>
  <c r="H49" i="8"/>
  <c r="G49" i="8"/>
  <c r="E49" i="8"/>
  <c r="C49" i="8"/>
  <c r="B49" i="8"/>
  <c r="BO52" i="2"/>
  <c r="J48" i="8"/>
  <c r="H48" i="8"/>
  <c r="G48" i="8"/>
  <c r="E48" i="8"/>
  <c r="C48" i="8"/>
  <c r="B48" i="8"/>
  <c r="BM11" i="2"/>
  <c r="BM14" i="2" a="1"/>
  <c r="BM14" i="2"/>
  <c r="BM15" i="2" a="1"/>
  <c r="BM15" i="2"/>
  <c r="BM16" i="2" a="1"/>
  <c r="BM17" i="2" a="1"/>
  <c r="BM18" i="2" a="1"/>
  <c r="BM19" i="2" a="1"/>
  <c r="BM20" i="2" a="1"/>
  <c r="BM21" i="2" a="1"/>
  <c r="BM22" i="2" a="1"/>
  <c r="BM23" i="2" a="1"/>
  <c r="BM24" i="2" a="1"/>
  <c r="BM25" i="2" a="1"/>
  <c r="BM26" i="2" a="1"/>
  <c r="BM27" i="2" a="1"/>
  <c r="BM28" i="2" a="1"/>
  <c r="BM29" i="2" a="1"/>
  <c r="BM30" i="2" a="1"/>
  <c r="BM31" i="2" a="1"/>
  <c r="BM32" i="2" a="1"/>
  <c r="BM33" i="2" a="1"/>
  <c r="BM34" i="2" a="1"/>
  <c r="BM35" i="2" a="1"/>
  <c r="BM36" i="2" a="1"/>
  <c r="BM37" i="2" a="1"/>
  <c r="BM38" i="2" a="1"/>
  <c r="BM39" i="2" a="1"/>
  <c r="BM40" i="2" a="1"/>
  <c r="BM41" i="2" a="1"/>
  <c r="BM42" i="2" a="1"/>
  <c r="BM43" i="2" a="1"/>
  <c r="BM44" i="2" a="1"/>
  <c r="BM45" i="2" a="1"/>
  <c r="BM46" i="2" a="1"/>
  <c r="BM47" i="2" a="1"/>
  <c r="BM48" i="2" a="1"/>
  <c r="BM49" i="2" a="1"/>
  <c r="BM50" i="2" a="1"/>
  <c r="BM51" i="2" a="1"/>
  <c r="BM52" i="2" a="1"/>
  <c r="BM53" i="2" a="1"/>
  <c r="BM54" i="2" a="1"/>
  <c r="BM55" i="2" a="1"/>
  <c r="BM56" i="2" a="1"/>
  <c r="BM57" i="2" a="1"/>
  <c r="BM58" i="2" a="1"/>
  <c r="BM59" i="2" a="1"/>
  <c r="BM60" i="2" a="1"/>
  <c r="BM61" i="2" a="1"/>
  <c r="BM62" i="2" a="1"/>
  <c r="BM63" i="2" a="1"/>
  <c r="BM64" i="2" a="1"/>
  <c r="BM65" i="2" a="1"/>
  <c r="BM66" i="2" a="1"/>
  <c r="BM67" i="2" a="1"/>
  <c r="BM68" i="2" a="1"/>
  <c r="BM69" i="2" a="1"/>
  <c r="BM70" i="2" a="1"/>
  <c r="BM71" i="2" a="1"/>
  <c r="BM72" i="2" a="1"/>
  <c r="BM73" i="2" a="1"/>
  <c r="BM74" i="2" a="1"/>
  <c r="BM75" i="2" a="1"/>
  <c r="BM76" i="2" a="1"/>
  <c r="BM77" i="2" a="1"/>
  <c r="BM78" i="2" a="1"/>
  <c r="BM79" i="2" a="1"/>
  <c r="BM80" i="2" a="1"/>
  <c r="BM81" i="2" a="1"/>
  <c r="BM82" i="2" a="1"/>
  <c r="BM83" i="2" a="1"/>
  <c r="BM84" i="2" a="1"/>
  <c r="BM85" i="2" a="1"/>
  <c r="BM86" i="2" a="1"/>
  <c r="BM87" i="2" a="1"/>
  <c r="BM88" i="2" a="1"/>
  <c r="BM89" i="2" a="1"/>
  <c r="BM90" i="2" a="1"/>
  <c r="BM91" i="2" a="1"/>
  <c r="BM92" i="2" a="1"/>
  <c r="BM93" i="2" a="1"/>
  <c r="BM94" i="2" a="1"/>
  <c r="BM95" i="2" a="1"/>
  <c r="BM96" i="2" a="1"/>
  <c r="BM97" i="2" a="1"/>
  <c r="BM98" i="2" a="1"/>
  <c r="BM99" i="2" a="1"/>
  <c r="BM100" i="2" a="1"/>
  <c r="BM101" i="2" a="1"/>
  <c r="BM102" i="2" a="1"/>
  <c r="BM103" i="2" a="1"/>
  <c r="BM104" i="2" a="1"/>
  <c r="BM105" i="2" a="1"/>
  <c r="BM106" i="2" a="1"/>
  <c r="BM107" i="2" a="1"/>
  <c r="BM108" i="2" a="1"/>
  <c r="BM109" i="2" a="1"/>
  <c r="BM110" i="2" a="1"/>
  <c r="BM111" i="2" a="1"/>
  <c r="BM112" i="2" a="1"/>
  <c r="BM113" i="2" a="1"/>
  <c r="BM114" i="2" a="1"/>
  <c r="BM115" i="2" a="1"/>
  <c r="BM116" i="2" a="1"/>
  <c r="BM117" i="2" a="1"/>
  <c r="BM118" i="2" a="1"/>
  <c r="BM119" i="2" a="1"/>
  <c r="BM120" i="2" a="1"/>
  <c r="BM121" i="2" a="1"/>
  <c r="BM122" i="2" a="1"/>
  <c r="BM123" i="2" a="1"/>
  <c r="BM16" i="2"/>
  <c r="BM17" i="2"/>
  <c r="BM18" i="2"/>
  <c r="BM19" i="2"/>
  <c r="BM20" i="2"/>
  <c r="BM21" i="2"/>
  <c r="BM22" i="2"/>
  <c r="BM23" i="2"/>
  <c r="BM24" i="2"/>
  <c r="BM25" i="2"/>
  <c r="BM26" i="2"/>
  <c r="BM27" i="2"/>
  <c r="BM28" i="2"/>
  <c r="BM29" i="2"/>
  <c r="BM30" i="2"/>
  <c r="BM31" i="2"/>
  <c r="BM32" i="2"/>
  <c r="BM33" i="2"/>
  <c r="BM34" i="2"/>
  <c r="BM35" i="2"/>
  <c r="BM36" i="2"/>
  <c r="BM37" i="2"/>
  <c r="BM38" i="2"/>
  <c r="BM39" i="2"/>
  <c r="BM40" i="2"/>
  <c r="BM41" i="2"/>
  <c r="BM42" i="2"/>
  <c r="BM43" i="2"/>
  <c r="BM44" i="2"/>
  <c r="BM45" i="2"/>
  <c r="BM46" i="2"/>
  <c r="BM47" i="2"/>
  <c r="BM48" i="2"/>
  <c r="BM49" i="2"/>
  <c r="BM50" i="2"/>
  <c r="BM51" i="2"/>
  <c r="BM52" i="2"/>
  <c r="BM53" i="2"/>
  <c r="BM54" i="2"/>
  <c r="BM55" i="2"/>
  <c r="BM56" i="2"/>
  <c r="BM57" i="2"/>
  <c r="BM58" i="2"/>
  <c r="BM59" i="2"/>
  <c r="BM60" i="2"/>
  <c r="BM61" i="2"/>
  <c r="BM62" i="2"/>
  <c r="BM63" i="2"/>
  <c r="BM64" i="2"/>
  <c r="BM65" i="2"/>
  <c r="BM66" i="2"/>
  <c r="BM67" i="2"/>
  <c r="BM68" i="2"/>
  <c r="BM69" i="2"/>
  <c r="BM70" i="2"/>
  <c r="BM71" i="2"/>
  <c r="BM72" i="2"/>
  <c r="BM73" i="2"/>
  <c r="BM74" i="2"/>
  <c r="BM75" i="2"/>
  <c r="BM76" i="2"/>
  <c r="BM77" i="2"/>
  <c r="BM78" i="2"/>
  <c r="BM79" i="2"/>
  <c r="BM80" i="2"/>
  <c r="BM81" i="2"/>
  <c r="BM82" i="2"/>
  <c r="BM83" i="2"/>
  <c r="BM84" i="2"/>
  <c r="BM85" i="2"/>
  <c r="BM86" i="2"/>
  <c r="BM87" i="2"/>
  <c r="BM88" i="2"/>
  <c r="BM89" i="2"/>
  <c r="BM90" i="2"/>
  <c r="BM91" i="2"/>
  <c r="BM92" i="2"/>
  <c r="BM93" i="2"/>
  <c r="BM94" i="2"/>
  <c r="BM95" i="2"/>
  <c r="BM96" i="2"/>
  <c r="BM97" i="2"/>
  <c r="BM98" i="2"/>
  <c r="BM99" i="2"/>
  <c r="BM100" i="2"/>
  <c r="BM101" i="2"/>
  <c r="BM102" i="2"/>
  <c r="BM103" i="2"/>
  <c r="BM104" i="2"/>
  <c r="BM105" i="2"/>
  <c r="BM106" i="2"/>
  <c r="BM107" i="2"/>
  <c r="BM108" i="2"/>
  <c r="BM109" i="2"/>
  <c r="BM110" i="2"/>
  <c r="BM111" i="2"/>
  <c r="BM112" i="2"/>
  <c r="BM113" i="2"/>
  <c r="BM114" i="2"/>
  <c r="BM115" i="2"/>
  <c r="BM116" i="2"/>
  <c r="BM117" i="2"/>
  <c r="BM118" i="2"/>
  <c r="BM119" i="2"/>
  <c r="BM120" i="2"/>
  <c r="BM121" i="2"/>
  <c r="BM122" i="2"/>
  <c r="BM123" i="2"/>
  <c r="BO51" i="2"/>
  <c r="J47" i="8"/>
  <c r="H47" i="8"/>
  <c r="G47" i="8"/>
  <c r="E47" i="8"/>
  <c r="C47" i="8"/>
  <c r="B47" i="8"/>
  <c r="BO50" i="2"/>
  <c r="J46" i="8"/>
  <c r="H46" i="8"/>
  <c r="G46" i="8"/>
  <c r="E46" i="8"/>
  <c r="C46" i="8"/>
  <c r="B46" i="8"/>
  <c r="BO49" i="2"/>
  <c r="J45" i="8"/>
  <c r="H45" i="8"/>
  <c r="G45" i="8"/>
  <c r="E45" i="8"/>
  <c r="C45" i="8"/>
  <c r="B45" i="8"/>
  <c r="BO48" i="2"/>
  <c r="J44" i="8"/>
  <c r="H44" i="8"/>
  <c r="G44" i="8"/>
  <c r="E44" i="8"/>
  <c r="C44" i="8"/>
  <c r="B44" i="8"/>
  <c r="BO47" i="2"/>
  <c r="J43" i="8"/>
  <c r="H43" i="8"/>
  <c r="G43" i="8"/>
  <c r="E43" i="8"/>
  <c r="C43" i="8"/>
  <c r="B43" i="8"/>
  <c r="BO46" i="2"/>
  <c r="J42" i="8"/>
  <c r="H42" i="8"/>
  <c r="G42" i="8"/>
  <c r="E42" i="8"/>
  <c r="C42" i="8"/>
  <c r="B42" i="8"/>
  <c r="BO45" i="2"/>
  <c r="J41" i="8"/>
  <c r="H41" i="8"/>
  <c r="G41" i="8"/>
  <c r="E41" i="8"/>
  <c r="C41" i="8"/>
  <c r="B41" i="8"/>
  <c r="BO44" i="2"/>
  <c r="J40" i="8"/>
  <c r="H40" i="8"/>
  <c r="G40" i="8"/>
  <c r="E40" i="8"/>
  <c r="C40" i="8"/>
  <c r="B40" i="8"/>
  <c r="BO43" i="2"/>
  <c r="J39" i="8"/>
  <c r="H39" i="8"/>
  <c r="G39" i="8"/>
  <c r="E39" i="8"/>
  <c r="C39" i="8"/>
  <c r="B39" i="8"/>
  <c r="BO42" i="2"/>
  <c r="J38" i="8"/>
  <c r="H38" i="8"/>
  <c r="G38" i="8"/>
  <c r="E38" i="8"/>
  <c r="C38" i="8"/>
  <c r="B38" i="8"/>
  <c r="BO41" i="2"/>
  <c r="J37" i="8"/>
  <c r="H37" i="8"/>
  <c r="G37" i="8"/>
  <c r="E37" i="8"/>
  <c r="C37" i="8"/>
  <c r="B37" i="8"/>
  <c r="BO40" i="2"/>
  <c r="J36" i="8"/>
  <c r="H36" i="8"/>
  <c r="G36" i="8"/>
  <c r="E36" i="8"/>
  <c r="C36" i="8"/>
  <c r="B36" i="8"/>
  <c r="BO39" i="2"/>
  <c r="J35" i="8"/>
  <c r="H35" i="8"/>
  <c r="G35" i="8"/>
  <c r="E35" i="8"/>
  <c r="C35" i="8"/>
  <c r="B35" i="8"/>
  <c r="BO38" i="2"/>
  <c r="J34" i="8"/>
  <c r="H34" i="8"/>
  <c r="G34" i="8"/>
  <c r="E34" i="8"/>
  <c r="C34" i="8"/>
  <c r="B34" i="8"/>
  <c r="BO37" i="2"/>
  <c r="J33" i="8"/>
  <c r="H33" i="8"/>
  <c r="G33" i="8"/>
  <c r="E33" i="8"/>
  <c r="C33" i="8"/>
  <c r="B33" i="8"/>
  <c r="BO36" i="2"/>
  <c r="J32" i="8"/>
  <c r="H32" i="8"/>
  <c r="G32" i="8"/>
  <c r="E32" i="8"/>
  <c r="C32" i="8"/>
  <c r="B32" i="8"/>
  <c r="BO35" i="2"/>
  <c r="J31" i="8"/>
  <c r="H31" i="8"/>
  <c r="G31" i="8"/>
  <c r="E31" i="8"/>
  <c r="C31" i="8"/>
  <c r="B31" i="8"/>
  <c r="BO34" i="2"/>
  <c r="J30" i="8"/>
  <c r="H30" i="8"/>
  <c r="G30" i="8"/>
  <c r="E30" i="8"/>
  <c r="C30" i="8"/>
  <c r="B30" i="8"/>
  <c r="BO33" i="2"/>
  <c r="J29" i="8"/>
  <c r="H29" i="8"/>
  <c r="G29" i="8"/>
  <c r="E29" i="8"/>
  <c r="C29" i="8"/>
  <c r="B29" i="8"/>
  <c r="BO32" i="2"/>
  <c r="J28" i="8"/>
  <c r="H28" i="8"/>
  <c r="G28" i="8"/>
  <c r="E28" i="8"/>
  <c r="C28" i="8"/>
  <c r="B28" i="8"/>
  <c r="BO31" i="2"/>
  <c r="J27" i="8"/>
  <c r="H27" i="8"/>
  <c r="G27" i="8"/>
  <c r="E27" i="8"/>
  <c r="C27" i="8"/>
  <c r="B27" i="8"/>
  <c r="BO30" i="2"/>
  <c r="J26" i="8"/>
  <c r="H26" i="8"/>
  <c r="G26" i="8"/>
  <c r="E26" i="8"/>
  <c r="C26" i="8"/>
  <c r="B26" i="8"/>
  <c r="BO29" i="2"/>
  <c r="J25" i="8"/>
  <c r="H25" i="8"/>
  <c r="G25" i="8"/>
  <c r="E25" i="8"/>
  <c r="C25" i="8"/>
  <c r="B25" i="8"/>
  <c r="BO28" i="2"/>
  <c r="J24" i="8"/>
  <c r="H24" i="8"/>
  <c r="G24" i="8"/>
  <c r="E24" i="8"/>
  <c r="C24" i="8"/>
  <c r="B24" i="8"/>
  <c r="BO27" i="2"/>
  <c r="J23" i="8"/>
  <c r="H23" i="8"/>
  <c r="G23" i="8"/>
  <c r="E23" i="8"/>
  <c r="C23" i="8"/>
  <c r="B23" i="8"/>
  <c r="BO26" i="2"/>
  <c r="J22" i="8"/>
  <c r="H22" i="8"/>
  <c r="G22" i="8"/>
  <c r="E22" i="8"/>
  <c r="C22" i="8"/>
  <c r="B22" i="8"/>
  <c r="BO25" i="2"/>
  <c r="J21" i="8"/>
  <c r="H21" i="8"/>
  <c r="G21" i="8"/>
  <c r="E21" i="8"/>
  <c r="C21" i="8"/>
  <c r="B21" i="8"/>
  <c r="BO24" i="2"/>
  <c r="J20" i="8"/>
  <c r="H20" i="8"/>
  <c r="G20" i="8"/>
  <c r="E20" i="8"/>
  <c r="C20" i="8"/>
  <c r="B20" i="8"/>
  <c r="BO23" i="2"/>
  <c r="J19" i="8"/>
  <c r="H19" i="8"/>
  <c r="G19" i="8"/>
  <c r="E19" i="8"/>
  <c r="C19" i="8"/>
  <c r="B19" i="8"/>
  <c r="BO22" i="2"/>
  <c r="J18" i="8"/>
  <c r="H18" i="8"/>
  <c r="G18" i="8"/>
  <c r="E18" i="8"/>
  <c r="C18" i="8"/>
  <c r="B18" i="8"/>
  <c r="BO21" i="2"/>
  <c r="J17" i="8"/>
  <c r="H17" i="8"/>
  <c r="G17" i="8"/>
  <c r="E17" i="8"/>
  <c r="C17" i="8"/>
  <c r="B17" i="8"/>
  <c r="BO20" i="2"/>
  <c r="J16" i="8"/>
  <c r="H16" i="8"/>
  <c r="G16" i="8"/>
  <c r="E16" i="8"/>
  <c r="C16" i="8"/>
  <c r="B16" i="8"/>
  <c r="BO19" i="2"/>
  <c r="J15" i="8"/>
  <c r="H15" i="8"/>
  <c r="G15" i="8"/>
  <c r="E15" i="8"/>
  <c r="C15" i="8"/>
  <c r="B15" i="8"/>
  <c r="BO18" i="2"/>
  <c r="J14" i="8"/>
  <c r="H14" i="8"/>
  <c r="G14" i="8"/>
  <c r="E14" i="8"/>
  <c r="C14" i="8"/>
  <c r="B14" i="8"/>
  <c r="BO17" i="2"/>
  <c r="J13" i="8"/>
  <c r="H13" i="8"/>
  <c r="G13" i="8"/>
  <c r="E13" i="8"/>
  <c r="C13" i="8"/>
  <c r="B13" i="8"/>
  <c r="BO16" i="2"/>
  <c r="J12" i="8"/>
  <c r="H12" i="8"/>
  <c r="G12" i="8"/>
  <c r="E12" i="8"/>
  <c r="C12" i="8"/>
  <c r="B12" i="8"/>
  <c r="BO15" i="2"/>
  <c r="J11" i="8"/>
  <c r="H11" i="8"/>
  <c r="G11" i="8"/>
  <c r="E11" i="8"/>
  <c r="C11" i="8"/>
  <c r="B11" i="8"/>
  <c r="BO14" i="2"/>
  <c r="J10" i="8"/>
  <c r="H10" i="8"/>
  <c r="G10" i="8"/>
  <c r="E10" i="8"/>
  <c r="C10" i="8"/>
  <c r="B10" i="8"/>
  <c r="BK10" i="2"/>
  <c r="BK9" i="2"/>
  <c r="BK11" i="2"/>
  <c r="BI10" i="2"/>
  <c r="BI9" i="2"/>
  <c r="BI11" i="2"/>
  <c r="BI14" i="2" a="1"/>
  <c r="BI14" i="2"/>
  <c r="BI15" i="2" a="1"/>
  <c r="BI15" i="2"/>
  <c r="BI16" i="2" a="1"/>
  <c r="BI17" i="2" a="1"/>
  <c r="BI18" i="2" a="1"/>
  <c r="BI19" i="2" a="1"/>
  <c r="BI20" i="2" a="1"/>
  <c r="BI21" i="2" a="1"/>
  <c r="BI22" i="2" a="1"/>
  <c r="BI23" i="2" a="1"/>
  <c r="BI24" i="2" a="1"/>
  <c r="BI25" i="2" a="1"/>
  <c r="BI26" i="2" a="1"/>
  <c r="BI27" i="2" a="1"/>
  <c r="BI28" i="2" a="1"/>
  <c r="BI29" i="2" a="1"/>
  <c r="BI30" i="2" a="1"/>
  <c r="BI31" i="2" a="1"/>
  <c r="BI32" i="2" a="1"/>
  <c r="BI33" i="2" a="1"/>
  <c r="BI34" i="2" a="1"/>
  <c r="BI35" i="2" a="1"/>
  <c r="BI36" i="2" a="1"/>
  <c r="BI37" i="2" a="1"/>
  <c r="BI38" i="2" a="1"/>
  <c r="BI39" i="2" a="1"/>
  <c r="BI40" i="2" a="1"/>
  <c r="BI41" i="2" a="1"/>
  <c r="BI42" i="2" a="1"/>
  <c r="BI43" i="2" a="1"/>
  <c r="BI44" i="2" a="1"/>
  <c r="BI45" i="2" a="1"/>
  <c r="BI46" i="2" a="1"/>
  <c r="BI47" i="2" a="1"/>
  <c r="BI48" i="2" a="1"/>
  <c r="BI49" i="2" a="1"/>
  <c r="BI50" i="2" a="1"/>
  <c r="BI51" i="2" a="1"/>
  <c r="BI52" i="2" a="1"/>
  <c r="BI53" i="2" a="1"/>
  <c r="BI54" i="2" a="1"/>
  <c r="BI55" i="2" a="1"/>
  <c r="BI56" i="2" a="1"/>
  <c r="BI57" i="2" a="1"/>
  <c r="BI58" i="2" a="1"/>
  <c r="BI59" i="2" a="1"/>
  <c r="BI60" i="2" a="1"/>
  <c r="BI61" i="2" a="1"/>
  <c r="BI62" i="2" a="1"/>
  <c r="BI63" i="2" a="1"/>
  <c r="BI64" i="2" a="1"/>
  <c r="BI65" i="2" a="1"/>
  <c r="BI66" i="2" a="1"/>
  <c r="BI67" i="2" a="1"/>
  <c r="BI68" i="2" a="1"/>
  <c r="BI69" i="2" a="1"/>
  <c r="BI70" i="2" a="1"/>
  <c r="BI71" i="2" a="1"/>
  <c r="BI72" i="2" a="1"/>
  <c r="BI73" i="2" a="1"/>
  <c r="BI74" i="2" a="1"/>
  <c r="BI75" i="2" a="1"/>
  <c r="BI76" i="2" a="1"/>
  <c r="BI77" i="2" a="1"/>
  <c r="BI78" i="2" a="1"/>
  <c r="BI79" i="2" a="1"/>
  <c r="BI80" i="2" a="1"/>
  <c r="BI81" i="2" a="1"/>
  <c r="BI82" i="2" a="1"/>
  <c r="BI83" i="2" a="1"/>
  <c r="BI84" i="2" a="1"/>
  <c r="BI85" i="2" a="1"/>
  <c r="BI86" i="2" a="1"/>
  <c r="BI87" i="2" a="1"/>
  <c r="BI88" i="2" a="1"/>
  <c r="BI89" i="2" a="1"/>
  <c r="BI90" i="2" a="1"/>
  <c r="BI91" i="2" a="1"/>
  <c r="BI92" i="2" a="1"/>
  <c r="BI93" i="2" a="1"/>
  <c r="BI94" i="2" a="1"/>
  <c r="BI95" i="2" a="1"/>
  <c r="BI96" i="2" a="1"/>
  <c r="BI97" i="2" a="1"/>
  <c r="BI98" i="2" a="1"/>
  <c r="BI99" i="2" a="1"/>
  <c r="BI100" i="2" a="1"/>
  <c r="BI101" i="2" a="1"/>
  <c r="BI102" i="2" a="1"/>
  <c r="BI103" i="2" a="1"/>
  <c r="BI104" i="2" a="1"/>
  <c r="BI105" i="2" a="1"/>
  <c r="BI106" i="2" a="1"/>
  <c r="BI107" i="2" a="1"/>
  <c r="BI108" i="2" a="1"/>
  <c r="BI109" i="2" a="1"/>
  <c r="BI110" i="2" a="1"/>
  <c r="BI111" i="2" a="1"/>
  <c r="BI112" i="2" a="1"/>
  <c r="BI113" i="2" a="1"/>
  <c r="BI114" i="2" a="1"/>
  <c r="BI115" i="2" a="1"/>
  <c r="BI116" i="2" a="1"/>
  <c r="BI117" i="2" a="1"/>
  <c r="BI118" i="2" a="1"/>
  <c r="BI119" i="2" a="1"/>
  <c r="BI120" i="2" a="1"/>
  <c r="BI121" i="2" a="1"/>
  <c r="BI122" i="2" a="1"/>
  <c r="BI123" i="2" a="1"/>
  <c r="BI16" i="2"/>
  <c r="BI17" i="2"/>
  <c r="BI18" i="2"/>
  <c r="BI19" i="2"/>
  <c r="BI20" i="2"/>
  <c r="BI21" i="2"/>
  <c r="BI22" i="2"/>
  <c r="BI23" i="2"/>
  <c r="BI24" i="2"/>
  <c r="BI25" i="2"/>
  <c r="BI26" i="2"/>
  <c r="BI27" i="2"/>
  <c r="BI28" i="2"/>
  <c r="BI29" i="2"/>
  <c r="BI30" i="2"/>
  <c r="BI31" i="2"/>
  <c r="BI32" i="2"/>
  <c r="BI33" i="2"/>
  <c r="BI34" i="2"/>
  <c r="BI35" i="2"/>
  <c r="BI36" i="2"/>
  <c r="BI37" i="2"/>
  <c r="BI38" i="2"/>
  <c r="BI39" i="2"/>
  <c r="BI40" i="2"/>
  <c r="BI41" i="2"/>
  <c r="BI42" i="2"/>
  <c r="BI43" i="2"/>
  <c r="BI44" i="2"/>
  <c r="BI45" i="2"/>
  <c r="BI46" i="2"/>
  <c r="BI47" i="2"/>
  <c r="BI48" i="2"/>
  <c r="BI49" i="2"/>
  <c r="BI50" i="2"/>
  <c r="BI51" i="2"/>
  <c r="BI52" i="2"/>
  <c r="BI53" i="2"/>
  <c r="BI54" i="2"/>
  <c r="BI55" i="2"/>
  <c r="BI56" i="2"/>
  <c r="BI57" i="2"/>
  <c r="BI58" i="2"/>
  <c r="BI59" i="2"/>
  <c r="BI60" i="2"/>
  <c r="BI61" i="2"/>
  <c r="BI62" i="2"/>
  <c r="BI63" i="2"/>
  <c r="BI64" i="2"/>
  <c r="BI65" i="2"/>
  <c r="BI66" i="2"/>
  <c r="BI67" i="2"/>
  <c r="BI68" i="2"/>
  <c r="BI69" i="2"/>
  <c r="BI70" i="2"/>
  <c r="BI71" i="2"/>
  <c r="BI72" i="2"/>
  <c r="BI73" i="2"/>
  <c r="BI74" i="2"/>
  <c r="BI75" i="2"/>
  <c r="BI76" i="2"/>
  <c r="BI77" i="2"/>
  <c r="BI78" i="2"/>
  <c r="BI79" i="2"/>
  <c r="BI80" i="2"/>
  <c r="BI81" i="2"/>
  <c r="BI82" i="2"/>
  <c r="BI83" i="2"/>
  <c r="BI84" i="2"/>
  <c r="BI85" i="2"/>
  <c r="BI86" i="2"/>
  <c r="BI87" i="2"/>
  <c r="BI88" i="2"/>
  <c r="BI89" i="2"/>
  <c r="BI90" i="2"/>
  <c r="BI91" i="2"/>
  <c r="BI92" i="2"/>
  <c r="BI93" i="2"/>
  <c r="BI94" i="2"/>
  <c r="BI95" i="2"/>
  <c r="BI96" i="2"/>
  <c r="BI97" i="2"/>
  <c r="BI98" i="2"/>
  <c r="BI99" i="2"/>
  <c r="BI100" i="2"/>
  <c r="BI101" i="2"/>
  <c r="BI102" i="2"/>
  <c r="BI103" i="2"/>
  <c r="BI104" i="2"/>
  <c r="BI105" i="2"/>
  <c r="BI106" i="2"/>
  <c r="BI107" i="2"/>
  <c r="BI108" i="2"/>
  <c r="BI109" i="2"/>
  <c r="BI110" i="2"/>
  <c r="BI111" i="2"/>
  <c r="BI112" i="2"/>
  <c r="BI113" i="2"/>
  <c r="BI114" i="2"/>
  <c r="BI115" i="2"/>
  <c r="BI116" i="2"/>
  <c r="BI117" i="2"/>
  <c r="BI118" i="2"/>
  <c r="BI119" i="2"/>
  <c r="BI120" i="2"/>
  <c r="BI121" i="2"/>
  <c r="BI122" i="2"/>
  <c r="BI123" i="2"/>
  <c r="BK15" i="2"/>
  <c r="H13" i="5"/>
  <c r="BK16" i="2"/>
  <c r="H14" i="5"/>
  <c r="BK17" i="2"/>
  <c r="H15" i="5"/>
  <c r="BK18" i="2"/>
  <c r="H16" i="5"/>
  <c r="BK19" i="2"/>
  <c r="H17" i="5"/>
  <c r="BK20" i="2"/>
  <c r="H18" i="5"/>
  <c r="BK21" i="2"/>
  <c r="H19" i="5"/>
  <c r="BK22" i="2"/>
  <c r="H20" i="5"/>
  <c r="BK23" i="2"/>
  <c r="H21" i="5"/>
  <c r="BK24" i="2"/>
  <c r="H22" i="5"/>
  <c r="BK25" i="2"/>
  <c r="H23" i="5"/>
  <c r="BK26" i="2"/>
  <c r="H24" i="5"/>
  <c r="BK27" i="2"/>
  <c r="H25" i="5"/>
  <c r="BK28" i="2"/>
  <c r="H26" i="5"/>
  <c r="BK29" i="2"/>
  <c r="H27" i="5"/>
  <c r="BK30" i="2"/>
  <c r="H28" i="5"/>
  <c r="BK31" i="2"/>
  <c r="H29" i="5"/>
  <c r="BK32" i="2"/>
  <c r="H30" i="5"/>
  <c r="BK33" i="2"/>
  <c r="H31" i="5"/>
  <c r="BK34" i="2"/>
  <c r="H32" i="5"/>
  <c r="BK35" i="2"/>
  <c r="H33" i="5"/>
  <c r="BK36" i="2"/>
  <c r="H34" i="5"/>
  <c r="BK37" i="2"/>
  <c r="H35" i="5"/>
  <c r="BK38" i="2"/>
  <c r="H36" i="5"/>
  <c r="BK39" i="2"/>
  <c r="H37" i="5"/>
  <c r="BK40" i="2"/>
  <c r="H38" i="5"/>
  <c r="BK41" i="2"/>
  <c r="H39" i="5"/>
  <c r="BK42" i="2"/>
  <c r="H40" i="5"/>
  <c r="BK43" i="2"/>
  <c r="H41" i="5"/>
  <c r="BK44" i="2"/>
  <c r="H42" i="5"/>
  <c r="BK45" i="2"/>
  <c r="H43" i="5"/>
  <c r="BK46" i="2"/>
  <c r="H44" i="5"/>
  <c r="BK47" i="2"/>
  <c r="H45" i="5"/>
  <c r="BK48" i="2"/>
  <c r="H46" i="5"/>
  <c r="E13" i="5"/>
  <c r="E14" i="5"/>
  <c r="E15" i="5"/>
  <c r="E16" i="5"/>
  <c r="E17" i="5"/>
  <c r="E18" i="5"/>
  <c r="E19" i="5"/>
  <c r="E20" i="5"/>
  <c r="E21" i="5"/>
  <c r="E22" i="5"/>
  <c r="E23" i="5"/>
  <c r="E24" i="5"/>
  <c r="E25" i="5"/>
  <c r="E26" i="5"/>
  <c r="E27" i="5"/>
  <c r="E28" i="5"/>
  <c r="E29" i="5"/>
  <c r="E30" i="5"/>
  <c r="E31" i="5"/>
  <c r="E32" i="5"/>
  <c r="E33" i="5"/>
  <c r="E34" i="5"/>
  <c r="E35" i="5"/>
  <c r="E36" i="5"/>
  <c r="E37" i="5"/>
  <c r="E38" i="5"/>
  <c r="E39" i="5"/>
  <c r="E40" i="5"/>
  <c r="E41" i="5"/>
  <c r="E42" i="5"/>
  <c r="E43" i="5"/>
  <c r="E44" i="5"/>
  <c r="E45" i="5"/>
  <c r="E46" i="5"/>
  <c r="C13" i="5"/>
  <c r="C14" i="5"/>
  <c r="C15" i="5"/>
  <c r="C16" i="5"/>
  <c r="C17" i="5"/>
  <c r="C18" i="5"/>
  <c r="C19" i="5"/>
  <c r="C20" i="5"/>
  <c r="C21" i="5"/>
  <c r="C22" i="5"/>
  <c r="C23" i="5"/>
  <c r="C24" i="5"/>
  <c r="C25" i="5"/>
  <c r="C26" i="5"/>
  <c r="C27" i="5"/>
  <c r="C28" i="5"/>
  <c r="C29" i="5"/>
  <c r="C30" i="5"/>
  <c r="C31" i="5"/>
  <c r="C32" i="5"/>
  <c r="C33" i="5"/>
  <c r="C34" i="5"/>
  <c r="C35" i="5"/>
  <c r="C36" i="5"/>
  <c r="C37" i="5"/>
  <c r="C38" i="5"/>
  <c r="C39" i="5"/>
  <c r="C40" i="5"/>
  <c r="C41" i="5"/>
  <c r="C42" i="5"/>
  <c r="C43" i="5"/>
  <c r="C44" i="5"/>
  <c r="C45" i="5"/>
  <c r="C46" i="5"/>
  <c r="B13" i="5"/>
  <c r="B14" i="5"/>
  <c r="B15" i="5"/>
  <c r="B16" i="5"/>
  <c r="B17" i="5"/>
  <c r="B18" i="5"/>
  <c r="B19" i="5"/>
  <c r="B20" i="5"/>
  <c r="B21" i="5"/>
  <c r="B22" i="5"/>
  <c r="B23" i="5"/>
  <c r="B24" i="5"/>
  <c r="B25" i="5"/>
  <c r="B26" i="5"/>
  <c r="B27" i="5"/>
  <c r="B28" i="5"/>
  <c r="B29" i="5"/>
  <c r="B30" i="5"/>
  <c r="B31" i="5"/>
  <c r="B32" i="5"/>
  <c r="B33" i="5"/>
  <c r="B34" i="5"/>
  <c r="B35" i="5"/>
  <c r="B36" i="5"/>
  <c r="B37" i="5"/>
  <c r="B38" i="5"/>
  <c r="B39" i="5"/>
  <c r="B40" i="5"/>
  <c r="B41" i="5"/>
  <c r="B42" i="5"/>
  <c r="B43" i="5"/>
  <c r="B44" i="5"/>
  <c r="B45" i="5"/>
  <c r="B46" i="5"/>
  <c r="BK14" i="2"/>
  <c r="H12" i="5"/>
  <c r="E12" i="5"/>
  <c r="C12" i="5"/>
  <c r="B12" i="5"/>
  <c r="BD3" i="4"/>
  <c r="BC3" i="4"/>
  <c r="A1" i="22"/>
  <c r="G17" i="21"/>
  <c r="G18" i="21"/>
  <c r="G19" i="21"/>
  <c r="G20" i="21"/>
  <c r="G21" i="21"/>
  <c r="G22" i="21"/>
  <c r="G23" i="21"/>
  <c r="G24" i="21"/>
  <c r="G25" i="21"/>
  <c r="G26" i="21"/>
  <c r="G27" i="21"/>
  <c r="A18" i="21"/>
  <c r="A19" i="21"/>
  <c r="A20" i="21"/>
  <c r="A21" i="21"/>
  <c r="A22" i="21"/>
  <c r="A23" i="21"/>
  <c r="A24" i="21"/>
  <c r="A25" i="21"/>
  <c r="A26" i="21"/>
  <c r="A14" i="21"/>
  <c r="A10" i="21"/>
  <c r="A9" i="21"/>
  <c r="A8" i="21"/>
  <c r="A7" i="21"/>
  <c r="A2" i="21"/>
  <c r="A1" i="21"/>
  <c r="K11" i="16"/>
  <c r="K12" i="16"/>
  <c r="K13" i="16"/>
  <c r="K14" i="16"/>
  <c r="D13" i="16"/>
  <c r="E13" i="16"/>
  <c r="F13" i="16"/>
  <c r="G13" i="16"/>
  <c r="H13" i="16"/>
  <c r="I13" i="16"/>
  <c r="J13" i="16"/>
  <c r="C13" i="16"/>
  <c r="D12" i="16"/>
  <c r="E12" i="16"/>
  <c r="F12" i="16"/>
  <c r="G12" i="16"/>
  <c r="H12" i="16"/>
  <c r="I12" i="16"/>
  <c r="J12" i="16"/>
  <c r="C12" i="16"/>
  <c r="D11" i="16"/>
  <c r="E11" i="16"/>
  <c r="F11" i="16"/>
  <c r="G11" i="16"/>
  <c r="H11" i="16"/>
  <c r="I11" i="16"/>
  <c r="J11" i="16"/>
  <c r="C11" i="16"/>
  <c r="D6" i="11"/>
  <c r="D7" i="9"/>
  <c r="D7" i="8"/>
  <c r="F9" i="5"/>
  <c r="F8" i="5"/>
  <c r="D9" i="5"/>
  <c r="D8" i="5"/>
  <c r="D7" i="5"/>
  <c r="K19" i="12"/>
  <c r="J19" i="12"/>
  <c r="I19" i="12"/>
  <c r="H19" i="12"/>
  <c r="G19" i="12"/>
  <c r="F19" i="12"/>
  <c r="E19" i="12"/>
  <c r="D19" i="12"/>
  <c r="C19" i="12"/>
  <c r="K18" i="12"/>
  <c r="J18" i="12"/>
  <c r="I18" i="12"/>
  <c r="H18" i="12"/>
  <c r="G18" i="12"/>
  <c r="F18" i="12"/>
  <c r="E18" i="12"/>
  <c r="D18" i="12"/>
  <c r="C18" i="12"/>
  <c r="K16" i="12"/>
  <c r="J16" i="12"/>
  <c r="I16" i="12"/>
  <c r="H16" i="12"/>
  <c r="G16" i="12"/>
  <c r="F16" i="12"/>
  <c r="E16" i="12"/>
  <c r="D16" i="12"/>
  <c r="C16" i="12"/>
  <c r="K15" i="12"/>
  <c r="J15" i="12"/>
  <c r="I15" i="12"/>
  <c r="H15" i="12"/>
  <c r="G15" i="12"/>
  <c r="F15" i="12"/>
  <c r="E15" i="12"/>
  <c r="D15" i="12"/>
  <c r="C15" i="12"/>
  <c r="K13" i="12"/>
  <c r="J13" i="12"/>
  <c r="I13" i="12"/>
  <c r="H13" i="12"/>
  <c r="G13" i="12"/>
  <c r="F13" i="12"/>
  <c r="E13" i="12"/>
  <c r="D13" i="12"/>
  <c r="K12" i="12"/>
  <c r="J12" i="12"/>
  <c r="I12" i="12"/>
  <c r="H12" i="12"/>
  <c r="G12" i="12"/>
  <c r="F12" i="12"/>
  <c r="E12" i="12"/>
  <c r="D12" i="12"/>
  <c r="C12" i="12"/>
  <c r="G2" i="18"/>
  <c r="F2" i="18"/>
  <c r="AM5" i="4"/>
  <c r="AL5" i="4"/>
  <c r="AK5" i="4"/>
  <c r="AM8" i="4"/>
  <c r="AL8" i="4"/>
  <c r="AK8" i="4"/>
  <c r="AM11" i="4"/>
  <c r="AL11" i="4"/>
  <c r="AK11" i="4"/>
  <c r="CE11" i="2"/>
  <c r="CC11" i="2"/>
  <c r="CC14" i="2" a="1"/>
  <c r="CC14" i="2"/>
  <c r="CC15" i="2" a="1"/>
  <c r="CC15" i="2"/>
  <c r="CC16" i="2" a="1"/>
  <c r="CC17" i="2" a="1"/>
  <c r="CC18" i="2" a="1"/>
  <c r="CC19" i="2" a="1"/>
  <c r="CC20" i="2" a="1"/>
  <c r="CC21" i="2" a="1"/>
  <c r="CC22" i="2" a="1"/>
  <c r="CC23" i="2" a="1"/>
  <c r="CC24" i="2" a="1"/>
  <c r="CC25" i="2" a="1"/>
  <c r="CC26" i="2" a="1"/>
  <c r="CC27" i="2" a="1"/>
  <c r="CC28" i="2" a="1"/>
  <c r="CC29" i="2" a="1"/>
  <c r="CC30" i="2" a="1"/>
  <c r="CC31" i="2" a="1"/>
  <c r="CC32" i="2" a="1"/>
  <c r="CC33" i="2" a="1"/>
  <c r="CC34" i="2" a="1"/>
  <c r="CC35" i="2" a="1"/>
  <c r="CC36" i="2" a="1"/>
  <c r="CC37" i="2" a="1"/>
  <c r="CC38" i="2" a="1"/>
  <c r="CC39" i="2" a="1"/>
  <c r="CC40" i="2" a="1"/>
  <c r="CC41" i="2" a="1"/>
  <c r="CC42" i="2" a="1"/>
  <c r="CC43" i="2" a="1"/>
  <c r="CC44" i="2" a="1"/>
  <c r="CC45" i="2" a="1"/>
  <c r="CC46" i="2" a="1"/>
  <c r="CC47" i="2" a="1"/>
  <c r="CC48" i="2" a="1"/>
  <c r="CC49" i="2" a="1"/>
  <c r="CC50" i="2" a="1"/>
  <c r="CC51" i="2" a="1"/>
  <c r="CC52" i="2" a="1"/>
  <c r="CC53" i="2" a="1"/>
  <c r="CC54" i="2" a="1"/>
  <c r="CC55" i="2" a="1"/>
  <c r="CC56" i="2" a="1"/>
  <c r="CC57" i="2" a="1"/>
  <c r="CC58" i="2" a="1"/>
  <c r="CC59" i="2" a="1"/>
  <c r="CC60" i="2" a="1"/>
  <c r="CC61" i="2" a="1"/>
  <c r="CC62" i="2" a="1"/>
  <c r="CC63" i="2" a="1"/>
  <c r="CC64" i="2" a="1"/>
  <c r="CC65" i="2" a="1"/>
  <c r="CC66" i="2" a="1"/>
  <c r="CC67" i="2" a="1"/>
  <c r="CC68" i="2" a="1"/>
  <c r="CC69" i="2" a="1"/>
  <c r="CC70" i="2" a="1"/>
  <c r="CC71" i="2" a="1"/>
  <c r="CC72" i="2" a="1"/>
  <c r="CC73" i="2" a="1"/>
  <c r="CC74" i="2" a="1"/>
  <c r="CC75" i="2" a="1"/>
  <c r="CC76" i="2" a="1"/>
  <c r="CC77" i="2" a="1"/>
  <c r="CC78" i="2" a="1"/>
  <c r="CC79" i="2" a="1"/>
  <c r="CC80" i="2" a="1"/>
  <c r="CC81" i="2" a="1"/>
  <c r="CC82" i="2" a="1"/>
  <c r="CC83" i="2" a="1"/>
  <c r="CC84" i="2" a="1"/>
  <c r="CC85" i="2" a="1"/>
  <c r="CC86" i="2" a="1"/>
  <c r="CC87" i="2" a="1"/>
  <c r="CC88" i="2" a="1"/>
  <c r="CC89" i="2" a="1"/>
  <c r="CC90" i="2" a="1"/>
  <c r="CC91" i="2" a="1"/>
  <c r="CC92" i="2" a="1"/>
  <c r="CC93" i="2" a="1"/>
  <c r="CC94" i="2" a="1"/>
  <c r="CC95" i="2" a="1"/>
  <c r="CC96" i="2" a="1"/>
  <c r="CC97" i="2" a="1"/>
  <c r="CC98" i="2" a="1"/>
  <c r="CC99" i="2" a="1"/>
  <c r="CC100" i="2" a="1"/>
  <c r="CC101" i="2" a="1"/>
  <c r="CC102" i="2" a="1"/>
  <c r="CC103" i="2" a="1"/>
  <c r="CC104" i="2" a="1"/>
  <c r="CC105" i="2" a="1"/>
  <c r="CC106" i="2" a="1"/>
  <c r="CC107" i="2" a="1"/>
  <c r="CC108" i="2" a="1"/>
  <c r="CC109" i="2" a="1"/>
  <c r="CC110" i="2" a="1"/>
  <c r="CC111" i="2" a="1"/>
  <c r="CC112" i="2" a="1"/>
  <c r="CC113" i="2" a="1"/>
  <c r="CC114" i="2" a="1"/>
  <c r="CC115" i="2" a="1"/>
  <c r="CC116" i="2" a="1"/>
  <c r="CC117" i="2" a="1"/>
  <c r="CC118" i="2" a="1"/>
  <c r="CC119" i="2" a="1"/>
  <c r="CC120" i="2" a="1"/>
  <c r="CC121" i="2" a="1"/>
  <c r="CC122" i="2" a="1"/>
  <c r="CC123" i="2" a="1"/>
  <c r="CC16" i="2"/>
  <c r="CC17" i="2"/>
  <c r="CC18" i="2"/>
  <c r="CC19" i="2"/>
  <c r="CC20" i="2"/>
  <c r="CC21" i="2"/>
  <c r="CC22" i="2"/>
  <c r="CC23" i="2"/>
  <c r="CC24" i="2"/>
  <c r="CC25" i="2"/>
  <c r="CC26" i="2"/>
  <c r="CC27" i="2"/>
  <c r="CC28" i="2"/>
  <c r="CC29" i="2"/>
  <c r="CC30" i="2"/>
  <c r="CC31" i="2"/>
  <c r="CC32" i="2"/>
  <c r="CC33" i="2"/>
  <c r="CC34" i="2"/>
  <c r="CC35" i="2"/>
  <c r="CC36" i="2"/>
  <c r="CC37" i="2"/>
  <c r="CC38" i="2"/>
  <c r="CC39" i="2"/>
  <c r="CC40" i="2"/>
  <c r="CC41" i="2"/>
  <c r="CC42" i="2"/>
  <c r="CC43" i="2"/>
  <c r="CC44" i="2"/>
  <c r="CC45" i="2"/>
  <c r="CC46" i="2"/>
  <c r="CC47" i="2"/>
  <c r="CC48" i="2"/>
  <c r="CC49" i="2"/>
  <c r="CC50" i="2"/>
  <c r="CC51" i="2"/>
  <c r="CC52" i="2"/>
  <c r="CC53" i="2"/>
  <c r="CC54" i="2"/>
  <c r="CC55" i="2"/>
  <c r="CC56" i="2"/>
  <c r="CC57" i="2"/>
  <c r="CC58" i="2"/>
  <c r="CC59" i="2"/>
  <c r="CC60" i="2"/>
  <c r="CC61" i="2"/>
  <c r="CC62" i="2"/>
  <c r="CC63" i="2"/>
  <c r="CC64" i="2"/>
  <c r="CC65" i="2"/>
  <c r="CC66" i="2"/>
  <c r="CC67" i="2"/>
  <c r="CC68" i="2"/>
  <c r="CC69" i="2"/>
  <c r="CC70" i="2"/>
  <c r="CC71" i="2"/>
  <c r="CC72" i="2"/>
  <c r="CC73" i="2"/>
  <c r="CC74" i="2"/>
  <c r="CC75" i="2"/>
  <c r="CC76" i="2"/>
  <c r="CC77" i="2"/>
  <c r="CC78" i="2"/>
  <c r="CC79" i="2"/>
  <c r="CC80" i="2"/>
  <c r="CC81" i="2"/>
  <c r="CC82" i="2"/>
  <c r="CC83" i="2"/>
  <c r="CC84" i="2"/>
  <c r="CC85" i="2"/>
  <c r="CC86" i="2"/>
  <c r="CC87" i="2"/>
  <c r="CC88" i="2"/>
  <c r="CC89" i="2"/>
  <c r="CC90" i="2"/>
  <c r="CC91" i="2"/>
  <c r="CC92" i="2"/>
  <c r="CC93" i="2"/>
  <c r="CC94" i="2"/>
  <c r="CC95" i="2"/>
  <c r="CC96" i="2"/>
  <c r="CC97" i="2"/>
  <c r="CC98" i="2"/>
  <c r="CC99" i="2"/>
  <c r="CC100" i="2"/>
  <c r="CC101" i="2"/>
  <c r="CC102" i="2"/>
  <c r="CC103" i="2"/>
  <c r="CC104" i="2"/>
  <c r="CC105" i="2"/>
  <c r="CC106" i="2"/>
  <c r="CC107" i="2"/>
  <c r="CC108" i="2"/>
  <c r="CC109" i="2"/>
  <c r="CC110" i="2"/>
  <c r="CC111" i="2"/>
  <c r="CC112" i="2"/>
  <c r="CC113" i="2"/>
  <c r="CC114" i="2"/>
  <c r="CC115" i="2"/>
  <c r="CC116" i="2"/>
  <c r="CC117" i="2"/>
  <c r="CC118" i="2"/>
  <c r="CC119" i="2"/>
  <c r="CC120" i="2"/>
  <c r="CC121" i="2"/>
  <c r="CC122" i="2"/>
  <c r="CC123" i="2"/>
  <c r="CE15" i="2"/>
  <c r="CE16" i="2"/>
  <c r="CE17" i="2"/>
  <c r="CE18" i="2"/>
  <c r="CE19" i="2"/>
  <c r="CE20" i="2"/>
  <c r="CE21" i="2"/>
  <c r="CE22" i="2"/>
  <c r="CE23" i="2"/>
  <c r="CE24" i="2"/>
  <c r="CE25" i="2"/>
  <c r="CE26" i="2"/>
  <c r="CE27" i="2"/>
  <c r="CE28" i="2"/>
  <c r="CE29" i="2"/>
  <c r="CE30" i="2"/>
  <c r="CE31" i="2"/>
  <c r="CE32" i="2"/>
  <c r="CE33" i="2"/>
  <c r="CE34" i="2"/>
  <c r="CE35" i="2"/>
  <c r="CE36" i="2"/>
  <c r="CE37" i="2"/>
  <c r="CE38" i="2"/>
  <c r="CE39" i="2"/>
  <c r="CE40" i="2"/>
  <c r="CE41" i="2"/>
  <c r="CE42" i="2"/>
  <c r="CE43" i="2"/>
  <c r="CE44" i="2"/>
  <c r="CE45" i="2"/>
  <c r="CE46" i="2"/>
  <c r="CE47" i="2"/>
  <c r="CE48" i="2"/>
  <c r="CE49" i="2"/>
  <c r="CE50" i="2"/>
  <c r="CE51" i="2"/>
  <c r="CE52" i="2"/>
  <c r="CE53" i="2"/>
  <c r="CE54" i="2"/>
  <c r="CE55" i="2"/>
  <c r="CE56" i="2"/>
  <c r="CE57" i="2"/>
  <c r="CE58" i="2"/>
  <c r="CE59" i="2"/>
  <c r="CE60" i="2"/>
  <c r="CE61" i="2"/>
  <c r="CE62" i="2"/>
  <c r="CE63" i="2"/>
  <c r="CE64" i="2"/>
  <c r="CE65" i="2"/>
  <c r="CE66" i="2"/>
  <c r="CE67" i="2"/>
  <c r="CE68" i="2"/>
  <c r="CE69" i="2"/>
  <c r="CE70" i="2"/>
  <c r="CE71" i="2"/>
  <c r="CE72" i="2"/>
  <c r="CE73" i="2"/>
  <c r="CE74" i="2"/>
  <c r="CE75" i="2"/>
  <c r="CE76" i="2"/>
  <c r="CE77" i="2"/>
  <c r="CE78" i="2"/>
  <c r="CE79" i="2"/>
  <c r="CE80" i="2"/>
  <c r="CE81" i="2"/>
  <c r="CE82" i="2"/>
  <c r="CE83" i="2"/>
  <c r="CE84" i="2"/>
  <c r="CE85" i="2"/>
  <c r="CE86" i="2"/>
  <c r="CE87" i="2"/>
  <c r="CE88" i="2"/>
  <c r="CE89" i="2"/>
  <c r="CE90" i="2"/>
  <c r="CE91" i="2"/>
  <c r="CE92" i="2"/>
  <c r="CE93" i="2"/>
  <c r="CE94" i="2"/>
  <c r="CE95" i="2"/>
  <c r="CE96" i="2"/>
  <c r="CE97" i="2"/>
  <c r="CE98" i="2"/>
  <c r="CE99" i="2"/>
  <c r="CE100" i="2"/>
  <c r="CE101" i="2"/>
  <c r="CE102" i="2"/>
  <c r="CE103" i="2"/>
  <c r="CE104" i="2"/>
  <c r="CE105" i="2"/>
  <c r="CE106" i="2"/>
  <c r="CE107" i="2"/>
  <c r="CE108" i="2"/>
  <c r="CE109" i="2"/>
  <c r="CE110" i="2"/>
  <c r="CE111" i="2"/>
  <c r="CE112" i="2"/>
  <c r="CE113" i="2"/>
  <c r="CE114" i="2"/>
  <c r="CE115" i="2"/>
  <c r="CE116" i="2"/>
  <c r="CE117" i="2"/>
  <c r="CE118" i="2"/>
  <c r="CE119" i="2"/>
  <c r="CE120" i="2"/>
  <c r="CE121" i="2"/>
  <c r="CE122" i="2"/>
  <c r="CE123" i="2"/>
  <c r="CE14" i="2"/>
  <c r="CA11" i="2"/>
  <c r="CA123" i="2"/>
  <c r="CA122" i="2"/>
  <c r="CA121" i="2"/>
  <c r="CA120" i="2"/>
  <c r="CA119" i="2"/>
  <c r="CA118" i="2"/>
  <c r="CA117" i="2"/>
  <c r="CA116" i="2"/>
  <c r="CA115" i="2"/>
  <c r="CA114" i="2"/>
  <c r="CA113" i="2"/>
  <c r="CA112" i="2"/>
  <c r="BY11" i="2"/>
  <c r="BY14" i="2" a="1"/>
  <c r="BY14" i="2"/>
  <c r="BY15" i="2" a="1"/>
  <c r="BY15" i="2"/>
  <c r="BY16" i="2" a="1"/>
  <c r="BY17" i="2" a="1"/>
  <c r="BY18" i="2" a="1"/>
  <c r="BY19" i="2" a="1"/>
  <c r="BY20" i="2" a="1"/>
  <c r="BY21" i="2" a="1"/>
  <c r="BY22" i="2" a="1"/>
  <c r="BY23" i="2" a="1"/>
  <c r="BY24" i="2" a="1"/>
  <c r="BY25" i="2" a="1"/>
  <c r="BY26" i="2" a="1"/>
  <c r="BY27" i="2" a="1"/>
  <c r="BY28" i="2" a="1"/>
  <c r="BY29" i="2" a="1"/>
  <c r="BY30" i="2" a="1"/>
  <c r="BY31" i="2" a="1"/>
  <c r="BY32" i="2" a="1"/>
  <c r="BY33" i="2" a="1"/>
  <c r="BY34" i="2" a="1"/>
  <c r="BY35" i="2" a="1"/>
  <c r="BY36" i="2" a="1"/>
  <c r="BY37" i="2" a="1"/>
  <c r="BY38" i="2" a="1"/>
  <c r="BY39" i="2" a="1"/>
  <c r="BY40" i="2" a="1"/>
  <c r="BY41" i="2" a="1"/>
  <c r="BY42" i="2" a="1"/>
  <c r="BY43" i="2" a="1"/>
  <c r="BY44" i="2" a="1"/>
  <c r="BY45" i="2" a="1"/>
  <c r="BY46" i="2" a="1"/>
  <c r="BY47" i="2" a="1"/>
  <c r="BY48" i="2" a="1"/>
  <c r="BY49" i="2" a="1"/>
  <c r="BY50" i="2" a="1"/>
  <c r="BY51" i="2" a="1"/>
  <c r="BY52" i="2" a="1"/>
  <c r="BY53" i="2" a="1"/>
  <c r="BY54" i="2" a="1"/>
  <c r="BY55" i="2" a="1"/>
  <c r="BY56" i="2" a="1"/>
  <c r="BY57" i="2" a="1"/>
  <c r="BY58" i="2" a="1"/>
  <c r="BY59" i="2" a="1"/>
  <c r="BY60" i="2" a="1"/>
  <c r="BY61" i="2" a="1"/>
  <c r="BY62" i="2" a="1"/>
  <c r="BY63" i="2" a="1"/>
  <c r="BY64" i="2" a="1"/>
  <c r="BY65" i="2" a="1"/>
  <c r="BY66" i="2" a="1"/>
  <c r="BY67" i="2" a="1"/>
  <c r="BY68" i="2" a="1"/>
  <c r="BY69" i="2" a="1"/>
  <c r="BY70" i="2" a="1"/>
  <c r="BY71" i="2" a="1"/>
  <c r="BY72" i="2" a="1"/>
  <c r="BY73" i="2" a="1"/>
  <c r="BY74" i="2" a="1"/>
  <c r="BY75" i="2" a="1"/>
  <c r="BY76" i="2" a="1"/>
  <c r="BY77" i="2" a="1"/>
  <c r="BY78" i="2" a="1"/>
  <c r="BY79" i="2" a="1"/>
  <c r="BY80" i="2" a="1"/>
  <c r="BY81" i="2" a="1"/>
  <c r="BY82" i="2" a="1"/>
  <c r="BY83" i="2" a="1"/>
  <c r="BY84" i="2" a="1"/>
  <c r="BY85" i="2" a="1"/>
  <c r="BY86" i="2" a="1"/>
  <c r="BY87" i="2" a="1"/>
  <c r="BY88" i="2" a="1"/>
  <c r="BY89" i="2" a="1"/>
  <c r="BY90" i="2" a="1"/>
  <c r="BY91" i="2" a="1"/>
  <c r="BY92" i="2" a="1"/>
  <c r="BY93" i="2" a="1"/>
  <c r="BY94" i="2" a="1"/>
  <c r="BY95" i="2" a="1"/>
  <c r="BY96" i="2" a="1"/>
  <c r="BY97" i="2" a="1"/>
  <c r="BY98" i="2" a="1"/>
  <c r="BY99" i="2" a="1"/>
  <c r="BY100" i="2" a="1"/>
  <c r="BY101" i="2" a="1"/>
  <c r="BY102" i="2" a="1"/>
  <c r="BY103" i="2" a="1"/>
  <c r="BY104" i="2" a="1"/>
  <c r="BY105" i="2" a="1"/>
  <c r="BY106" i="2" a="1"/>
  <c r="BY107" i="2" a="1"/>
  <c r="BY108" i="2" a="1"/>
  <c r="BY109" i="2" a="1"/>
  <c r="BY110" i="2" a="1"/>
  <c r="BY111" i="2" a="1"/>
  <c r="BY112" i="2" a="1"/>
  <c r="BY113" i="2" a="1"/>
  <c r="BY114" i="2" a="1"/>
  <c r="BY115" i="2" a="1"/>
  <c r="BY116" i="2" a="1"/>
  <c r="BY117" i="2" a="1"/>
  <c r="BY118" i="2" a="1"/>
  <c r="BY119" i="2" a="1"/>
  <c r="BY120" i="2" a="1"/>
  <c r="BY121" i="2" a="1"/>
  <c r="BY122" i="2" a="1"/>
  <c r="BY123" i="2" a="1"/>
  <c r="BY16" i="2"/>
  <c r="BY17" i="2"/>
  <c r="BY18" i="2"/>
  <c r="BY19" i="2"/>
  <c r="BY20" i="2"/>
  <c r="BY21" i="2"/>
  <c r="BY22" i="2"/>
  <c r="BY23" i="2"/>
  <c r="BY24" i="2"/>
  <c r="BY25" i="2"/>
  <c r="BY26" i="2"/>
  <c r="BY27" i="2"/>
  <c r="BY28" i="2"/>
  <c r="BY29" i="2"/>
  <c r="BY30" i="2"/>
  <c r="BY31" i="2"/>
  <c r="BY32" i="2"/>
  <c r="BY33" i="2"/>
  <c r="BY34" i="2"/>
  <c r="BY35" i="2"/>
  <c r="BY36" i="2"/>
  <c r="BY37" i="2"/>
  <c r="BY38" i="2"/>
  <c r="BY39" i="2"/>
  <c r="BY40" i="2"/>
  <c r="BY41" i="2"/>
  <c r="BY42" i="2"/>
  <c r="BY43" i="2"/>
  <c r="BY44" i="2"/>
  <c r="BY45" i="2"/>
  <c r="BY46" i="2"/>
  <c r="BY47" i="2"/>
  <c r="BY48" i="2"/>
  <c r="BY49" i="2"/>
  <c r="BY50" i="2"/>
  <c r="BY51" i="2"/>
  <c r="BY52" i="2"/>
  <c r="BY53" i="2"/>
  <c r="BY54" i="2"/>
  <c r="BY55" i="2"/>
  <c r="BY56" i="2"/>
  <c r="BY57" i="2"/>
  <c r="BY58" i="2"/>
  <c r="BY59" i="2"/>
  <c r="BY60" i="2"/>
  <c r="BY61" i="2"/>
  <c r="BY62" i="2"/>
  <c r="BY63" i="2"/>
  <c r="BY64" i="2"/>
  <c r="BY65" i="2"/>
  <c r="BY66" i="2"/>
  <c r="BY67" i="2"/>
  <c r="BY68" i="2"/>
  <c r="BY69" i="2"/>
  <c r="BY70" i="2"/>
  <c r="BY71" i="2"/>
  <c r="BY72" i="2"/>
  <c r="BY73" i="2"/>
  <c r="BY74" i="2"/>
  <c r="BY75" i="2"/>
  <c r="BY76" i="2"/>
  <c r="BY77" i="2"/>
  <c r="BY78" i="2"/>
  <c r="BY79" i="2"/>
  <c r="BY80" i="2"/>
  <c r="BY81" i="2"/>
  <c r="BY82" i="2"/>
  <c r="BY83" i="2"/>
  <c r="BY84" i="2"/>
  <c r="BY85" i="2"/>
  <c r="BY86" i="2"/>
  <c r="BY87" i="2"/>
  <c r="BY88" i="2"/>
  <c r="BY89" i="2"/>
  <c r="BY90" i="2"/>
  <c r="BY91" i="2"/>
  <c r="BY92" i="2"/>
  <c r="BY93" i="2"/>
  <c r="BY94" i="2"/>
  <c r="BY95" i="2"/>
  <c r="BY96" i="2"/>
  <c r="BY97" i="2"/>
  <c r="BY98" i="2"/>
  <c r="BY99" i="2"/>
  <c r="BY100" i="2"/>
  <c r="BY101" i="2"/>
  <c r="BY102" i="2"/>
  <c r="BY103" i="2"/>
  <c r="BY104" i="2"/>
  <c r="BY105" i="2"/>
  <c r="BY106" i="2"/>
  <c r="BY107" i="2"/>
  <c r="BY108" i="2"/>
  <c r="BY109" i="2"/>
  <c r="BY110" i="2"/>
  <c r="BY111" i="2"/>
  <c r="BY112" i="2"/>
  <c r="BY113" i="2"/>
  <c r="BY114" i="2"/>
  <c r="BY115" i="2"/>
  <c r="BY116" i="2"/>
  <c r="BY117" i="2"/>
  <c r="BY118" i="2"/>
  <c r="BY119" i="2"/>
  <c r="BY120" i="2"/>
  <c r="BY121" i="2"/>
  <c r="BY122" i="2"/>
  <c r="BY123" i="2"/>
  <c r="CA111" i="2"/>
  <c r="CA110" i="2"/>
  <c r="CA109" i="2"/>
  <c r="CA108" i="2"/>
  <c r="CA107" i="2"/>
  <c r="CA106" i="2"/>
  <c r="CA105" i="2"/>
  <c r="CA104" i="2"/>
  <c r="CA103" i="2"/>
  <c r="CA102" i="2"/>
  <c r="CA101" i="2"/>
  <c r="CA100" i="2"/>
  <c r="CA99" i="2"/>
  <c r="CA98" i="2"/>
  <c r="CA97" i="2"/>
  <c r="CA96" i="2"/>
  <c r="CA95" i="2"/>
  <c r="CA94" i="2"/>
  <c r="CA93" i="2"/>
  <c r="CA92" i="2"/>
  <c r="CA91" i="2"/>
  <c r="CA90" i="2"/>
  <c r="CA89" i="2"/>
  <c r="CA88" i="2"/>
  <c r="CA87" i="2"/>
  <c r="CA86" i="2"/>
  <c r="CA85" i="2"/>
  <c r="CA84" i="2"/>
  <c r="CA83" i="2"/>
  <c r="CA82" i="2"/>
  <c r="CA81" i="2"/>
  <c r="CA80" i="2"/>
  <c r="CA79" i="2"/>
  <c r="CA78" i="2"/>
  <c r="CA77" i="2"/>
  <c r="CA76" i="2"/>
  <c r="CA75" i="2"/>
  <c r="CA74" i="2"/>
  <c r="CA73" i="2"/>
  <c r="CA72" i="2"/>
  <c r="CA71" i="2"/>
  <c r="CA70" i="2"/>
  <c r="CA69" i="2"/>
  <c r="CA68" i="2"/>
  <c r="CA67" i="2"/>
  <c r="CA66" i="2"/>
  <c r="CA65" i="2"/>
  <c r="CA64" i="2"/>
  <c r="CA63" i="2"/>
  <c r="CA62" i="2"/>
  <c r="CA61" i="2"/>
  <c r="CA60" i="2"/>
  <c r="CA59" i="2"/>
  <c r="CA58" i="2"/>
  <c r="CA57" i="2"/>
  <c r="CA56" i="2"/>
  <c r="CA55" i="2"/>
  <c r="CA54" i="2"/>
  <c r="CA53" i="2"/>
  <c r="CA52" i="2"/>
  <c r="CA51" i="2"/>
  <c r="CA50" i="2"/>
  <c r="CA49" i="2"/>
  <c r="CA48" i="2"/>
  <c r="CA47" i="2"/>
  <c r="CA46" i="2"/>
  <c r="CA45" i="2"/>
  <c r="CA44" i="2"/>
  <c r="CA43" i="2"/>
  <c r="CA42" i="2"/>
  <c r="CA41" i="2"/>
  <c r="CA40" i="2"/>
  <c r="CA39" i="2"/>
  <c r="CA38" i="2"/>
  <c r="CA37" i="2"/>
  <c r="CA36" i="2"/>
  <c r="CA35" i="2"/>
  <c r="CA34" i="2"/>
  <c r="CA33" i="2"/>
  <c r="CA32" i="2"/>
  <c r="CA31" i="2"/>
  <c r="CA30" i="2"/>
  <c r="CA29" i="2"/>
  <c r="CA28" i="2"/>
  <c r="CA27" i="2"/>
  <c r="CA26" i="2"/>
  <c r="CA25" i="2"/>
  <c r="CA24" i="2"/>
  <c r="CA23" i="2"/>
  <c r="CA22" i="2"/>
  <c r="CA21" i="2"/>
  <c r="CA20" i="2"/>
  <c r="CA19" i="2"/>
  <c r="CA18" i="2"/>
  <c r="CA17" i="2"/>
  <c r="CA16" i="2"/>
  <c r="CA15" i="2"/>
  <c r="CA14" i="2"/>
  <c r="C16" i="16"/>
  <c r="D16" i="16"/>
  <c r="E16" i="16"/>
  <c r="F16" i="16"/>
  <c r="G16" i="16"/>
  <c r="H16" i="16"/>
  <c r="I16" i="16"/>
  <c r="J16" i="16"/>
  <c r="K16" i="16"/>
  <c r="L16" i="16"/>
  <c r="C17" i="16"/>
  <c r="D17" i="16"/>
  <c r="E17" i="16"/>
  <c r="F17" i="16"/>
  <c r="G17" i="16"/>
  <c r="H17" i="16"/>
  <c r="I17" i="16"/>
  <c r="J17" i="16"/>
  <c r="K17" i="16"/>
  <c r="L17" i="16"/>
  <c r="L18" i="16"/>
  <c r="K18" i="16"/>
  <c r="J18" i="16"/>
  <c r="I18" i="16"/>
  <c r="H18" i="16"/>
  <c r="G18" i="16"/>
  <c r="F18" i="16"/>
  <c r="E18" i="16"/>
  <c r="D18" i="16"/>
  <c r="C18" i="16"/>
  <c r="BW74" i="2"/>
  <c r="BW75" i="2"/>
  <c r="BW76" i="2"/>
  <c r="BW77" i="2"/>
  <c r="BW78" i="2"/>
  <c r="BW79" i="2"/>
  <c r="BW80" i="2"/>
  <c r="BW81" i="2"/>
  <c r="BW82" i="2"/>
  <c r="BW83" i="2"/>
  <c r="BW84" i="2"/>
  <c r="BW85" i="2"/>
  <c r="BW86" i="2"/>
  <c r="BW87" i="2"/>
  <c r="BW88" i="2"/>
  <c r="BW89" i="2"/>
  <c r="BW90" i="2"/>
  <c r="BW91" i="2"/>
  <c r="BW92" i="2"/>
  <c r="BW93" i="2"/>
  <c r="BW94" i="2"/>
  <c r="BW95" i="2"/>
  <c r="BW96" i="2"/>
  <c r="BW97" i="2"/>
  <c r="BW98" i="2"/>
  <c r="BW99" i="2"/>
  <c r="BW100" i="2"/>
  <c r="BW101" i="2"/>
  <c r="BW102" i="2"/>
  <c r="BW103" i="2"/>
  <c r="BW104" i="2"/>
  <c r="BW105" i="2"/>
  <c r="BW106" i="2"/>
  <c r="BW107" i="2"/>
  <c r="BW108" i="2"/>
  <c r="BW109" i="2"/>
  <c r="BW110" i="2"/>
  <c r="BW111" i="2"/>
  <c r="BW112" i="2"/>
  <c r="BW113" i="2"/>
  <c r="BW114" i="2"/>
  <c r="BW115" i="2"/>
  <c r="BW116" i="2"/>
  <c r="BW117" i="2"/>
  <c r="BW118" i="2"/>
  <c r="BW119" i="2"/>
  <c r="BW120" i="2"/>
  <c r="BW121" i="2"/>
  <c r="BW122" i="2"/>
  <c r="BW123" i="2"/>
  <c r="B23" i="19"/>
  <c r="B22" i="19"/>
  <c r="B21" i="19"/>
  <c r="B20" i="19"/>
  <c r="B19" i="19"/>
  <c r="B18" i="19"/>
  <c r="B17" i="19"/>
  <c r="A14" i="19"/>
  <c r="A10" i="19"/>
  <c r="A9" i="19"/>
  <c r="A8" i="19"/>
  <c r="A7" i="19"/>
  <c r="A2" i="19"/>
  <c r="A1" i="19"/>
  <c r="E2" i="18"/>
  <c r="D2" i="18"/>
  <c r="C2" i="18"/>
  <c r="B2" i="18"/>
  <c r="A2" i="18"/>
  <c r="L11" i="16"/>
  <c r="L12" i="16"/>
  <c r="L13" i="16"/>
  <c r="L14" i="16"/>
  <c r="D14" i="16"/>
  <c r="E14" i="16"/>
  <c r="F14" i="16"/>
  <c r="G14" i="16"/>
  <c r="H14" i="16"/>
  <c r="I14" i="16"/>
  <c r="J14" i="16"/>
  <c r="C14" i="16"/>
  <c r="A2" i="17"/>
  <c r="A1" i="17"/>
  <c r="B23" i="17"/>
  <c r="B22" i="17"/>
  <c r="B20" i="17"/>
  <c r="B21" i="17"/>
  <c r="B18" i="17"/>
  <c r="B19" i="17"/>
  <c r="B17" i="17"/>
  <c r="A14" i="17"/>
  <c r="A7" i="16"/>
  <c r="A9" i="17"/>
  <c r="A10" i="17"/>
  <c r="A8" i="17"/>
  <c r="A7" i="17"/>
  <c r="C22" i="16"/>
  <c r="F7" i="16"/>
  <c r="A2" i="16"/>
  <c r="A1" i="16"/>
  <c r="C4" i="14"/>
  <c r="A9" i="14"/>
  <c r="A13" i="5"/>
  <c r="A14" i="5"/>
  <c r="A15" i="5"/>
  <c r="A16" i="5"/>
  <c r="A17" i="5"/>
  <c r="A18" i="5"/>
  <c r="A19" i="5"/>
  <c r="A20" i="5"/>
  <c r="A21" i="5"/>
  <c r="A22" i="5"/>
  <c r="A23" i="5"/>
  <c r="A24" i="5"/>
  <c r="A25" i="5"/>
  <c r="A26" i="5"/>
  <c r="A27" i="5"/>
  <c r="A28" i="5"/>
  <c r="A29" i="5"/>
  <c r="A30" i="5"/>
  <c r="A31" i="5"/>
  <c r="A32" i="5"/>
  <c r="A33" i="5"/>
  <c r="A34" i="5"/>
  <c r="A35" i="5"/>
  <c r="A36" i="5"/>
  <c r="A37" i="5"/>
  <c r="A38" i="5"/>
  <c r="A39" i="5"/>
  <c r="A40" i="5"/>
  <c r="A41" i="5"/>
  <c r="A42" i="5"/>
  <c r="A43" i="5"/>
  <c r="A44" i="5"/>
  <c r="A45" i="5"/>
  <c r="A46" i="5"/>
  <c r="BK49" i="2"/>
  <c r="BK50" i="2"/>
  <c r="BK51" i="2"/>
  <c r="BK52" i="2"/>
  <c r="BK53" i="2"/>
  <c r="BK54" i="2"/>
  <c r="BK55" i="2"/>
  <c r="BK56" i="2"/>
  <c r="BK57" i="2"/>
  <c r="BK58" i="2"/>
  <c r="BK59" i="2"/>
  <c r="BK60" i="2"/>
  <c r="BK61" i="2"/>
  <c r="BK62" i="2"/>
  <c r="BK63" i="2"/>
  <c r="BK64" i="2"/>
  <c r="BK65" i="2"/>
  <c r="BK66" i="2"/>
  <c r="BK67" i="2"/>
  <c r="BK68" i="2"/>
  <c r="BK69" i="2"/>
  <c r="BK70" i="2"/>
  <c r="BK71" i="2"/>
  <c r="BK72" i="2"/>
  <c r="BK73" i="2"/>
  <c r="BK74" i="2"/>
  <c r="BK75" i="2"/>
  <c r="BK76" i="2"/>
  <c r="BK77" i="2"/>
  <c r="BK78" i="2"/>
  <c r="BK79" i="2"/>
  <c r="BK80" i="2"/>
  <c r="BK81" i="2"/>
  <c r="BK82" i="2"/>
  <c r="BK83" i="2"/>
  <c r="BK84" i="2"/>
  <c r="BK85" i="2"/>
  <c r="BK86" i="2"/>
  <c r="BK87" i="2"/>
  <c r="BK88" i="2"/>
  <c r="BK89" i="2"/>
  <c r="BK90" i="2"/>
  <c r="BK91" i="2"/>
  <c r="BK92" i="2"/>
  <c r="BK93" i="2"/>
  <c r="BK94" i="2"/>
  <c r="BK95" i="2"/>
  <c r="BK96" i="2"/>
  <c r="BK97" i="2"/>
  <c r="BK98" i="2"/>
  <c r="BK99" i="2"/>
  <c r="BK100" i="2"/>
  <c r="BK101" i="2"/>
  <c r="BK102" i="2"/>
  <c r="BK103" i="2"/>
  <c r="BK104" i="2"/>
  <c r="BK105" i="2"/>
  <c r="BK106" i="2"/>
  <c r="BK107" i="2"/>
  <c r="BK108" i="2"/>
  <c r="BK109" i="2"/>
  <c r="BK110" i="2"/>
  <c r="BK111" i="2"/>
  <c r="BK112" i="2"/>
  <c r="BK113" i="2"/>
  <c r="BK114" i="2"/>
  <c r="BK115" i="2"/>
  <c r="BK116" i="2"/>
  <c r="BK117" i="2"/>
  <c r="BK118" i="2"/>
  <c r="BK119" i="2"/>
  <c r="BK120" i="2"/>
  <c r="BK121" i="2"/>
  <c r="BK122" i="2"/>
  <c r="BK123" i="2"/>
  <c r="A2" i="5"/>
  <c r="A1" i="5"/>
  <c r="A11" i="8"/>
  <c r="A12" i="8"/>
  <c r="A13" i="8"/>
  <c r="A14" i="8"/>
  <c r="A15" i="8"/>
  <c r="A16" i="8"/>
  <c r="A17" i="8"/>
  <c r="A18" i="8"/>
  <c r="A19" i="8"/>
  <c r="A20" i="8"/>
  <c r="A21" i="8"/>
  <c r="A22" i="8"/>
  <c r="A23" i="8"/>
  <c r="A24" i="8"/>
  <c r="A25" i="8"/>
  <c r="A26" i="8"/>
  <c r="A27" i="8"/>
  <c r="A28" i="8"/>
  <c r="A29" i="8"/>
  <c r="A30" i="8"/>
  <c r="A31" i="8"/>
  <c r="A32" i="8"/>
  <c r="A33" i="8"/>
  <c r="A34" i="8"/>
  <c r="A35" i="8"/>
  <c r="A36" i="8"/>
  <c r="A37" i="8"/>
  <c r="A38" i="8"/>
  <c r="A39" i="8"/>
  <c r="A40" i="8"/>
  <c r="A41" i="8"/>
  <c r="A42" i="8"/>
  <c r="A43" i="8"/>
  <c r="A44" i="8"/>
  <c r="A45" i="8"/>
  <c r="A46" i="8"/>
  <c r="A47" i="8"/>
  <c r="A48" i="8"/>
  <c r="A49" i="8"/>
  <c r="A2" i="8"/>
  <c r="A1" i="8"/>
  <c r="A11" i="9"/>
  <c r="A12" i="9"/>
  <c r="A13" i="9"/>
  <c r="A14" i="9"/>
  <c r="A15" i="9"/>
  <c r="A16" i="9"/>
  <c r="A17" i="9"/>
  <c r="A18" i="9"/>
  <c r="A19" i="9"/>
  <c r="A20" i="9"/>
  <c r="A21" i="9"/>
  <c r="A22" i="9"/>
  <c r="A23" i="9"/>
  <c r="A24" i="9"/>
  <c r="A25" i="9"/>
  <c r="A26" i="9"/>
  <c r="A27" i="9"/>
  <c r="A28" i="9"/>
  <c r="A29" i="9"/>
  <c r="A30" i="9"/>
  <c r="A31" i="9"/>
  <c r="A32" i="9"/>
  <c r="A33" i="9"/>
  <c r="A34" i="9"/>
  <c r="A35" i="9"/>
  <c r="A36" i="9"/>
  <c r="A37" i="9"/>
  <c r="A38" i="9"/>
  <c r="A39" i="9"/>
  <c r="A40" i="9"/>
  <c r="A41" i="9"/>
  <c r="A42" i="9"/>
  <c r="A43" i="9"/>
  <c r="A44" i="9"/>
  <c r="A45" i="9"/>
  <c r="A46" i="9"/>
  <c r="A47" i="9"/>
  <c r="A48" i="9"/>
  <c r="A49" i="9"/>
  <c r="A2" i="9"/>
  <c r="A1" i="9"/>
  <c r="AF5" i="2"/>
  <c r="AF8" i="2"/>
  <c r="AF7" i="2"/>
  <c r="AF9" i="2"/>
  <c r="AG7" i="2"/>
  <c r="AH7" i="2"/>
  <c r="AI7" i="2"/>
  <c r="AJ7" i="2"/>
  <c r="AK7" i="2"/>
  <c r="AL7" i="2"/>
  <c r="AM7" i="2"/>
  <c r="AN7" i="2"/>
  <c r="AG8" i="2"/>
  <c r="AH8" i="2"/>
  <c r="AI8" i="2"/>
  <c r="AJ8" i="2"/>
  <c r="AK8" i="2"/>
  <c r="AL8" i="2"/>
  <c r="AM8" i="2"/>
  <c r="AN8" i="2"/>
  <c r="AG9" i="2"/>
  <c r="AH9" i="2"/>
  <c r="AI9" i="2"/>
  <c r="AJ9" i="2"/>
  <c r="AK9" i="2"/>
  <c r="AL9" i="2"/>
  <c r="AM9" i="2"/>
  <c r="AN9" i="2"/>
  <c r="D20" i="12"/>
  <c r="E20" i="12"/>
  <c r="F20" i="12"/>
  <c r="G20" i="12"/>
  <c r="H20" i="12"/>
  <c r="I20" i="12"/>
  <c r="J20" i="12"/>
  <c r="K20" i="12"/>
  <c r="L18" i="12"/>
  <c r="L19" i="12"/>
  <c r="L20" i="12"/>
  <c r="C20" i="12"/>
  <c r="D17" i="12"/>
  <c r="E17" i="12"/>
  <c r="F17" i="12"/>
  <c r="G17" i="12"/>
  <c r="H17" i="12"/>
  <c r="I17" i="12"/>
  <c r="J17" i="12"/>
  <c r="K17" i="12"/>
  <c r="L15" i="12"/>
  <c r="L16" i="12"/>
  <c r="L17" i="12"/>
  <c r="C17" i="12"/>
  <c r="L12" i="12"/>
  <c r="L13" i="12"/>
  <c r="L14" i="12"/>
  <c r="D14" i="12"/>
  <c r="E14" i="12"/>
  <c r="F14" i="12"/>
  <c r="G14" i="12"/>
  <c r="H14" i="12"/>
  <c r="I14" i="12"/>
  <c r="J14" i="12"/>
  <c r="K14" i="12"/>
  <c r="C14" i="12"/>
  <c r="BS54" i="2"/>
  <c r="BS55" i="2"/>
  <c r="BS56" i="2"/>
  <c r="BS57" i="2"/>
  <c r="BS58" i="2"/>
  <c r="BS59" i="2"/>
  <c r="BS60" i="2"/>
  <c r="BS61" i="2"/>
  <c r="BS62" i="2"/>
  <c r="BS63" i="2"/>
  <c r="BS64" i="2"/>
  <c r="BS65" i="2"/>
  <c r="BS66" i="2"/>
  <c r="BS67" i="2"/>
  <c r="BS68" i="2"/>
  <c r="BS69" i="2"/>
  <c r="BS70" i="2"/>
  <c r="BS71" i="2"/>
  <c r="BS72" i="2"/>
  <c r="BS73" i="2"/>
  <c r="BS74" i="2"/>
  <c r="BS75" i="2"/>
  <c r="BS76" i="2"/>
  <c r="BS77" i="2"/>
  <c r="BS78" i="2"/>
  <c r="BS79" i="2"/>
  <c r="BS80" i="2"/>
  <c r="BS81" i="2"/>
  <c r="BS82" i="2"/>
  <c r="BS83" i="2"/>
  <c r="BS84" i="2"/>
  <c r="BS85" i="2"/>
  <c r="BS86" i="2"/>
  <c r="BS87" i="2"/>
  <c r="BS88" i="2"/>
  <c r="BS89" i="2"/>
  <c r="BS90" i="2"/>
  <c r="BS91" i="2"/>
  <c r="BS92" i="2"/>
  <c r="BS93" i="2"/>
  <c r="BS94" i="2"/>
  <c r="BS95" i="2"/>
  <c r="BS96" i="2"/>
  <c r="BS97" i="2"/>
  <c r="BS98" i="2"/>
  <c r="BS99" i="2"/>
  <c r="BS100" i="2"/>
  <c r="BS101" i="2"/>
  <c r="BS102" i="2"/>
  <c r="BS103" i="2"/>
  <c r="BS104" i="2"/>
  <c r="BS105" i="2"/>
  <c r="BS106" i="2"/>
  <c r="BS107" i="2"/>
  <c r="BS108" i="2"/>
  <c r="BS109" i="2"/>
  <c r="BS110" i="2"/>
  <c r="BS111" i="2"/>
  <c r="BS112" i="2"/>
  <c r="BS113" i="2"/>
  <c r="BS114" i="2"/>
  <c r="BS115" i="2"/>
  <c r="BS116" i="2"/>
  <c r="BS117" i="2"/>
  <c r="BS118" i="2"/>
  <c r="BS119" i="2"/>
  <c r="BS120" i="2"/>
  <c r="BS121" i="2"/>
  <c r="BS122" i="2"/>
  <c r="BS123" i="2"/>
  <c r="BO54" i="2"/>
  <c r="BO55" i="2"/>
  <c r="BO56" i="2"/>
  <c r="BO57" i="2"/>
  <c r="BO58" i="2"/>
  <c r="BO59" i="2"/>
  <c r="BO60" i="2"/>
  <c r="BO61" i="2"/>
  <c r="BO62" i="2"/>
  <c r="BO63" i="2"/>
  <c r="BO64" i="2"/>
  <c r="BO65" i="2"/>
  <c r="BO66" i="2"/>
  <c r="BO67" i="2"/>
  <c r="BO68" i="2"/>
  <c r="BO69" i="2"/>
  <c r="BO70" i="2"/>
  <c r="BO71" i="2"/>
  <c r="BO72" i="2"/>
  <c r="BO73" i="2"/>
  <c r="BO74" i="2"/>
  <c r="BO75" i="2"/>
  <c r="BO76" i="2"/>
  <c r="BO77" i="2"/>
  <c r="BO78" i="2"/>
  <c r="BO79" i="2"/>
  <c r="BO80" i="2"/>
  <c r="BO81" i="2"/>
  <c r="BO82" i="2"/>
  <c r="BO83" i="2"/>
  <c r="BO84" i="2"/>
  <c r="BO85" i="2"/>
  <c r="BO86" i="2"/>
  <c r="BO87" i="2"/>
  <c r="BO88" i="2"/>
  <c r="BO89" i="2"/>
  <c r="BO90" i="2"/>
  <c r="BO91" i="2"/>
  <c r="BO92" i="2"/>
  <c r="BO93" i="2"/>
  <c r="BO94" i="2"/>
  <c r="BO95" i="2"/>
  <c r="BO96" i="2"/>
  <c r="BO97" i="2"/>
  <c r="BO98" i="2"/>
  <c r="BO99" i="2"/>
  <c r="BO100" i="2"/>
  <c r="BO101" i="2"/>
  <c r="BO102" i="2"/>
  <c r="BO103" i="2"/>
  <c r="BO104" i="2"/>
  <c r="BO105" i="2"/>
  <c r="BO106" i="2"/>
  <c r="BO107" i="2"/>
  <c r="BO108" i="2"/>
  <c r="BO109" i="2"/>
  <c r="BO110" i="2"/>
  <c r="BO111" i="2"/>
  <c r="BO112" i="2"/>
  <c r="BO113" i="2"/>
  <c r="BO114" i="2"/>
  <c r="BO115" i="2"/>
  <c r="BO116" i="2"/>
  <c r="BO117" i="2"/>
  <c r="BO118" i="2"/>
  <c r="BO119" i="2"/>
  <c r="BO120" i="2"/>
  <c r="BO121" i="2"/>
  <c r="BO122" i="2"/>
  <c r="BO123" i="2"/>
  <c r="A2" i="11"/>
  <c r="A1" i="11"/>
  <c r="E2" i="2"/>
  <c r="E1" i="2"/>
  <c r="A2" i="12"/>
  <c r="A1" i="12"/>
  <c r="A10" i="11"/>
  <c r="A11" i="11"/>
  <c r="A12" i="11"/>
  <c r="A13" i="11"/>
  <c r="A14" i="11"/>
  <c r="A15" i="11"/>
  <c r="A16" i="11"/>
  <c r="A17" i="11"/>
  <c r="A18" i="11"/>
  <c r="A19" i="11"/>
  <c r="A20" i="11"/>
  <c r="A21" i="11"/>
  <c r="A22" i="11"/>
  <c r="A23" i="11"/>
  <c r="A24" i="11"/>
  <c r="A25" i="11"/>
  <c r="A26" i="11"/>
  <c r="A27" i="11"/>
  <c r="A28" i="11"/>
  <c r="A29" i="11"/>
  <c r="A30" i="11"/>
  <c r="A31" i="11"/>
  <c r="A32" i="11"/>
  <c r="A33" i="11"/>
  <c r="A34" i="11"/>
  <c r="A35" i="11"/>
  <c r="A36" i="11"/>
  <c r="A37" i="11"/>
  <c r="A38" i="11"/>
  <c r="A39" i="11"/>
  <c r="A40" i="11"/>
  <c r="A41" i="11"/>
  <c r="A42" i="11"/>
  <c r="A43" i="11"/>
  <c r="A44" i="11"/>
  <c r="A45" i="11"/>
  <c r="A46" i="11"/>
  <c r="A47" i="11"/>
  <c r="A48" i="11"/>
  <c r="A49" i="11"/>
  <c r="A50" i="11"/>
  <c r="A51" i="11"/>
  <c r="A52" i="11"/>
  <c r="A53" i="11"/>
  <c r="A54" i="11"/>
  <c r="A55" i="11"/>
  <c r="A56" i="11"/>
  <c r="A57" i="11"/>
  <c r="A58" i="11"/>
  <c r="A59" i="11"/>
  <c r="A60" i="11"/>
  <c r="A61" i="11"/>
  <c r="A62" i="11"/>
  <c r="A63" i="11"/>
  <c r="A64" i="11"/>
  <c r="A65" i="11"/>
  <c r="A66" i="11"/>
  <c r="A67" i="11"/>
  <c r="A68" i="11"/>
  <c r="AZ125" i="2"/>
  <c r="BF12" i="2"/>
  <c r="AZ126" i="2"/>
  <c r="BG12" i="2"/>
  <c r="AY125" i="2"/>
  <c r="I9" i="2"/>
</calcChain>
</file>

<file path=xl/sharedStrings.xml><?xml version="1.0" encoding="utf-8"?>
<sst xmlns="http://schemas.openxmlformats.org/spreadsheetml/2006/main" count="672" uniqueCount="305">
  <si>
    <t>Coach</t>
  </si>
  <si>
    <t>Official</t>
  </si>
  <si>
    <t>Referee</t>
  </si>
  <si>
    <t>Medical</t>
  </si>
  <si>
    <t>Press</t>
  </si>
  <si>
    <t>Men</t>
  </si>
  <si>
    <t>Women</t>
  </si>
  <si>
    <t>Type</t>
  </si>
  <si>
    <t>SubType1</t>
  </si>
  <si>
    <t>SubType2</t>
  </si>
  <si>
    <t>-55kg</t>
  </si>
  <si>
    <t>-60kg</t>
  </si>
  <si>
    <t>-66kg</t>
  </si>
  <si>
    <t>-73kg</t>
  </si>
  <si>
    <t>-81kg</t>
  </si>
  <si>
    <t>-90kg</t>
  </si>
  <si>
    <t>-100kg</t>
  </si>
  <si>
    <t>+100kg</t>
  </si>
  <si>
    <t>-44kg</t>
  </si>
  <si>
    <t>-48kg</t>
  </si>
  <si>
    <t>-52kg</t>
  </si>
  <si>
    <t>-57kg</t>
  </si>
  <si>
    <t>-63kg</t>
  </si>
  <si>
    <t>-70kg</t>
  </si>
  <si>
    <t>-78kg</t>
  </si>
  <si>
    <t>+78kg</t>
  </si>
  <si>
    <t>TrainingCamp</t>
  </si>
  <si>
    <t>YES</t>
  </si>
  <si>
    <t>NO</t>
  </si>
  <si>
    <t>Graz Airport</t>
  </si>
  <si>
    <t>Graz Trainstation</t>
  </si>
  <si>
    <t>Vienna Airport</t>
  </si>
  <si>
    <t>Code</t>
  </si>
  <si>
    <t>Category A</t>
  </si>
  <si>
    <t>Cat A</t>
  </si>
  <si>
    <t>Category B</t>
  </si>
  <si>
    <t>Cat B</t>
  </si>
  <si>
    <t>Category</t>
  </si>
  <si>
    <t>Price</t>
  </si>
  <si>
    <t>Single</t>
  </si>
  <si>
    <t>Double</t>
  </si>
  <si>
    <t>Shared</t>
  </si>
  <si>
    <t>DepartureDate</t>
  </si>
  <si>
    <t>ArrivalDate</t>
  </si>
  <si>
    <t>TravelLocation</t>
  </si>
  <si>
    <t>TransferLocation</t>
  </si>
  <si>
    <t>MealPrices</t>
  </si>
  <si>
    <t>Size</t>
  </si>
  <si>
    <t>BB</t>
  </si>
  <si>
    <t>HB</t>
  </si>
  <si>
    <t>FB</t>
  </si>
  <si>
    <t>Quantity</t>
  </si>
  <si>
    <t>LodgingTypes</t>
  </si>
  <si>
    <t>HotelCategories</t>
  </si>
  <si>
    <t>RoomPrices</t>
  </si>
  <si>
    <t>WeightOrFunction</t>
  </si>
  <si>
    <t>Lodging</t>
  </si>
  <si>
    <t>AccommodationCosts</t>
  </si>
  <si>
    <t>AccreditationFee</t>
  </si>
  <si>
    <t>Surname</t>
  </si>
  <si>
    <t>Given name</t>
  </si>
  <si>
    <t>Athlete</t>
  </si>
  <si>
    <t>Position</t>
  </si>
  <si>
    <t>Date of Birth</t>
  </si>
  <si>
    <t>Place of Birth</t>
  </si>
  <si>
    <t>Nationality</t>
  </si>
  <si>
    <t>Passport Number</t>
  </si>
  <si>
    <t>Date of Issue</t>
  </si>
  <si>
    <t>Date of Expiry</t>
  </si>
  <si>
    <t>Best Results</t>
  </si>
  <si>
    <t>Training Camp</t>
  </si>
  <si>
    <t>Arrival</t>
  </si>
  <si>
    <t>Arriving by</t>
  </si>
  <si>
    <t>Departure</t>
  </si>
  <si>
    <t>Departing by</t>
  </si>
  <si>
    <t>Accommodation</t>
  </si>
  <si>
    <t>Visa required</t>
  </si>
  <si>
    <t>Individual Information</t>
  </si>
  <si>
    <t>LocomotionType</t>
  </si>
  <si>
    <t>by Plane</t>
  </si>
  <si>
    <t>by Train</t>
  </si>
  <si>
    <t>by Car or Bus</t>
  </si>
  <si>
    <t>RoomAndLodgings</t>
  </si>
  <si>
    <t>Room</t>
  </si>
  <si>
    <t>Federation</t>
  </si>
  <si>
    <t>Contact Person</t>
  </si>
  <si>
    <t>Phone number</t>
  </si>
  <si>
    <t>Email</t>
  </si>
  <si>
    <t>No</t>
  </si>
  <si>
    <r>
      <rPr>
        <b/>
        <sz val="12"/>
        <color theme="4" tint="0.59999389629810485"/>
        <rFont val="Calibri (Textkörper)"/>
      </rPr>
      <t xml:space="preserve">Dep </t>
    </r>
    <r>
      <rPr>
        <b/>
        <sz val="12"/>
        <color rgb="FF145A99"/>
        <rFont val="Calibri"/>
        <scheme val="minor"/>
      </rPr>
      <t>Date</t>
    </r>
  </si>
  <si>
    <r>
      <rPr>
        <b/>
        <sz val="12"/>
        <color theme="9" tint="0.59999389629810485"/>
        <rFont val="Calibri (Textkörper)"/>
      </rPr>
      <t xml:space="preserve">Arr </t>
    </r>
    <r>
      <rPr>
        <b/>
        <sz val="12"/>
        <color rgb="FF145A99"/>
        <rFont val="Calibri"/>
        <scheme val="minor"/>
      </rPr>
      <t>Date</t>
    </r>
  </si>
  <si>
    <r>
      <rPr>
        <b/>
        <sz val="12"/>
        <color theme="9" tint="0.59999389629810485"/>
        <rFont val="Calibri (Textkörper)"/>
      </rPr>
      <t xml:space="preserve">Arr </t>
    </r>
    <r>
      <rPr>
        <b/>
        <sz val="12"/>
        <color rgb="FF145A99"/>
        <rFont val="Calibri"/>
        <scheme val="minor"/>
      </rPr>
      <t>Time</t>
    </r>
  </si>
  <si>
    <r>
      <rPr>
        <b/>
        <sz val="12"/>
        <color theme="9" tint="0.59999389629810485"/>
        <rFont val="Calibri (Textkörper)"/>
      </rPr>
      <t xml:space="preserve">Arr </t>
    </r>
    <r>
      <rPr>
        <b/>
        <sz val="12"/>
        <color rgb="FF145A99"/>
        <rFont val="Calibri"/>
        <scheme val="minor"/>
      </rPr>
      <t>From</t>
    </r>
  </si>
  <si>
    <r>
      <rPr>
        <b/>
        <sz val="12"/>
        <color theme="9" tint="0.59999389629810485"/>
        <rFont val="Calibri (Textkörper)"/>
      </rPr>
      <t xml:space="preserve">Arr </t>
    </r>
    <r>
      <rPr>
        <b/>
        <sz val="12"/>
        <color rgb="FF145A99"/>
        <rFont val="Calibri"/>
        <scheme val="minor"/>
      </rPr>
      <t>To</t>
    </r>
  </si>
  <si>
    <r>
      <rPr>
        <b/>
        <sz val="12"/>
        <color theme="9" tint="0.59999389629810485"/>
        <rFont val="Calibri (Textkörper)"/>
      </rPr>
      <t xml:space="preserve">Arr </t>
    </r>
    <r>
      <rPr>
        <b/>
        <sz val="12"/>
        <color rgb="FF145A99"/>
        <rFont val="Calibri"/>
        <scheme val="minor"/>
      </rPr>
      <t>Flight/Train Number</t>
    </r>
  </si>
  <si>
    <r>
      <rPr>
        <b/>
        <sz val="12"/>
        <color theme="4" tint="0.59999389629810485"/>
        <rFont val="Calibri (Textkörper)"/>
      </rPr>
      <t xml:space="preserve">Dep </t>
    </r>
    <r>
      <rPr>
        <b/>
        <sz val="12"/>
        <color rgb="FF145A99"/>
        <rFont val="Calibri"/>
        <scheme val="minor"/>
      </rPr>
      <t>Time</t>
    </r>
  </si>
  <si>
    <r>
      <rPr>
        <b/>
        <sz val="12"/>
        <color theme="4" tint="0.59999389629810485"/>
        <rFont val="Calibri (Textkörper)"/>
      </rPr>
      <t>Dep</t>
    </r>
    <r>
      <rPr>
        <b/>
        <sz val="12"/>
        <color rgb="FF145A99"/>
        <rFont val="Calibri"/>
        <scheme val="minor"/>
      </rPr>
      <t xml:space="preserve"> From</t>
    </r>
  </si>
  <si>
    <r>
      <rPr>
        <b/>
        <sz val="12"/>
        <color theme="4" tint="0.59999389629810485"/>
        <rFont val="Calibri (Textkörper)"/>
      </rPr>
      <t>Dep</t>
    </r>
    <r>
      <rPr>
        <b/>
        <sz val="12"/>
        <color rgb="FF145A99"/>
        <rFont val="Calibri"/>
        <scheme val="minor"/>
      </rPr>
      <t xml:space="preserve"> To</t>
    </r>
  </si>
  <si>
    <r>
      <rPr>
        <b/>
        <sz val="12"/>
        <color theme="4" tint="0.59999389629810485"/>
        <rFont val="Calibri (Textkörper)"/>
      </rPr>
      <t>Dep</t>
    </r>
    <r>
      <rPr>
        <b/>
        <sz val="12"/>
        <color rgb="FF145A99"/>
        <rFont val="Calibri"/>
        <scheme val="minor"/>
      </rPr>
      <t xml:space="preserve"> Flight/Train Number</t>
    </r>
  </si>
  <si>
    <t>Accred. Fee</t>
  </si>
  <si>
    <t>Bill Accred Fee</t>
  </si>
  <si>
    <t>DELEGATION’S NOMINAL INSCRIPTION FORM</t>
  </si>
  <si>
    <t>Contact person</t>
  </si>
  <si>
    <t>Coaches and Officials</t>
  </si>
  <si>
    <t>Function</t>
  </si>
  <si>
    <t>Attention:</t>
  </si>
  <si>
    <t>Date</t>
  </si>
  <si>
    <t>Id</t>
  </si>
  <si>
    <t>Weight Category</t>
  </si>
  <si>
    <t>Date of birth</t>
  </si>
  <si>
    <t>Best results</t>
  </si>
  <si>
    <t>Training Camp (Yes/No)</t>
  </si>
  <si>
    <t>Sorted</t>
  </si>
  <si>
    <t>Unsorted</t>
  </si>
  <si>
    <t>Gender</t>
  </si>
  <si>
    <t>FEMALE</t>
  </si>
  <si>
    <t>MALE</t>
  </si>
  <si>
    <t>Coach (male)</t>
  </si>
  <si>
    <t>Official (male)</t>
  </si>
  <si>
    <t>Referee IJF-A (male)</t>
  </si>
  <si>
    <t>Referee IJF-B (male)</t>
  </si>
  <si>
    <t>Referee National (male)</t>
  </si>
  <si>
    <t>Medical (male)</t>
  </si>
  <si>
    <t>Press (male)</t>
  </si>
  <si>
    <t>Coach (female)</t>
  </si>
  <si>
    <t>Official (female)</t>
  </si>
  <si>
    <t>Referee IJF-A (female)</t>
  </si>
  <si>
    <t>Referee IJF-B (female)</t>
  </si>
  <si>
    <t>Referee National (female)</t>
  </si>
  <si>
    <t>Medical (female)</t>
  </si>
  <si>
    <t>Press (female)</t>
  </si>
  <si>
    <t>Weight Category, Function, and Gender</t>
  </si>
  <si>
    <t>Time</t>
  </si>
  <si>
    <t>From</t>
  </si>
  <si>
    <t>To</t>
  </si>
  <si>
    <t>Flight/Train Number</t>
  </si>
  <si>
    <t>Cat</t>
  </si>
  <si>
    <t>Amount</t>
  </si>
  <si>
    <t>Total</t>
  </si>
  <si>
    <t>Total until May 12</t>
  </si>
  <si>
    <t>Total after May 12</t>
  </si>
  <si>
    <t>Transfer Shuttle required?</t>
  </si>
  <si>
    <t>Female</t>
  </si>
  <si>
    <t>Male</t>
  </si>
  <si>
    <t>Room type</t>
  </si>
  <si>
    <t>The table below gives you an overview of how many persons differentiated by gender are assigned to each room type.</t>
  </si>
  <si>
    <t>Otherwise higher accommodation costs could arise!</t>
  </si>
  <si>
    <t>Check your reservation!</t>
  </si>
  <si>
    <t>VISA APPLICATION FORM</t>
  </si>
  <si>
    <t>Headers</t>
  </si>
  <si>
    <r>
      <t xml:space="preserve">Please consider to assign </t>
    </r>
    <r>
      <rPr>
        <b/>
        <sz val="12"/>
        <color theme="1"/>
        <rFont val="Calibri"/>
        <family val="2"/>
        <scheme val="minor"/>
      </rPr>
      <t>two persons per double room</t>
    </r>
    <r>
      <rPr>
        <sz val="12"/>
        <color theme="1"/>
        <rFont val="Calibri"/>
        <family val="2"/>
        <scheme val="minor"/>
      </rPr>
      <t xml:space="preserve"> and </t>
    </r>
    <r>
      <rPr>
        <b/>
        <u/>
        <sz val="12"/>
        <color theme="1"/>
        <rFont val="Calibri (Textkörper)"/>
      </rPr>
      <t>at least</t>
    </r>
    <r>
      <rPr>
        <b/>
        <sz val="12"/>
        <color theme="1"/>
        <rFont val="Calibri"/>
        <family val="2"/>
        <scheme val="minor"/>
      </rPr>
      <t xml:space="preserve"> 3 persons to shared rooms</t>
    </r>
    <r>
      <rPr>
        <sz val="12"/>
        <color theme="1"/>
        <rFont val="Calibri"/>
        <family val="2"/>
        <scheme val="minor"/>
      </rPr>
      <t>!</t>
    </r>
  </si>
  <si>
    <t>Number of persons per room type and gender</t>
  </si>
  <si>
    <r>
      <rPr>
        <b/>
        <sz val="12"/>
        <color rgb="FFC00000"/>
        <rFont val="Calibri (Textkörper)"/>
      </rPr>
      <t>Single</t>
    </r>
    <r>
      <rPr>
        <sz val="12"/>
        <color rgb="FF145A99"/>
        <rFont val="Calibri"/>
        <scheme val="minor"/>
      </rPr>
      <t>:</t>
    </r>
  </si>
  <si>
    <t>Single Room / Einzelzimmer</t>
  </si>
  <si>
    <r>
      <rPr>
        <b/>
        <sz val="12"/>
        <color rgb="FFC00000"/>
        <rFont val="Calibri (Textkörper)"/>
      </rPr>
      <t>Double</t>
    </r>
    <r>
      <rPr>
        <sz val="12"/>
        <color rgb="FF145A99"/>
        <rFont val="Calibri"/>
        <scheme val="minor"/>
      </rPr>
      <t>:</t>
    </r>
  </si>
  <si>
    <t>Double Room / Doppelzimmer</t>
  </si>
  <si>
    <r>
      <rPr>
        <b/>
        <sz val="12"/>
        <color rgb="FFC00000"/>
        <rFont val="Calibri (Textkörper)"/>
      </rPr>
      <t>Shared</t>
    </r>
    <r>
      <rPr>
        <sz val="12"/>
        <color rgb="FF145A99"/>
        <rFont val="Calibri"/>
        <scheme val="minor"/>
      </rPr>
      <t>:</t>
    </r>
  </si>
  <si>
    <t>Shared (=multi bed) Room / Mehrbettzimmer</t>
  </si>
  <si>
    <t>- MEN -</t>
  </si>
  <si>
    <t>- WOMEN -</t>
  </si>
  <si>
    <t>- COACHES AND OFFICIALS -</t>
  </si>
  <si>
    <t>SortOrder</t>
  </si>
  <si>
    <t>Referee (IJF-A)</t>
  </si>
  <si>
    <t>Referee (IJF-B)</t>
  </si>
  <si>
    <t>Referee (National)</t>
  </si>
  <si>
    <t>Listenpreis</t>
  </si>
  <si>
    <t>Accreditation Fee</t>
  </si>
  <si>
    <t>Rechnung A</t>
  </si>
  <si>
    <t>Rechnung B</t>
  </si>
  <si>
    <t>Menge</t>
  </si>
  <si>
    <t>Zimmertyp</t>
  </si>
  <si>
    <t>Summe</t>
  </si>
  <si>
    <t>Geschlecht</t>
  </si>
  <si>
    <t>Anzahl Verpflegung je Tag und Typ</t>
  </si>
  <si>
    <t>Anzahl Essen je Tag und Typ</t>
  </si>
  <si>
    <t>Mittagessen</t>
  </si>
  <si>
    <t>Abendessen</t>
  </si>
  <si>
    <t>Anzahl Transfers von ... nach Leibnitz</t>
  </si>
  <si>
    <t>Anzahl Transfers von Leibnitz nach ...</t>
  </si>
  <si>
    <t>Shuttle</t>
  </si>
  <si>
    <t>Summen</t>
  </si>
  <si>
    <t>Comment</t>
  </si>
  <si>
    <t>Other Location</t>
  </si>
  <si>
    <t>(Einzelzimmer)</t>
  </si>
  <si>
    <t>(Doppelzimmer)</t>
  </si>
  <si>
    <t>(Mehrbettzimmer)</t>
  </si>
  <si>
    <t>(Halfboard)</t>
  </si>
  <si>
    <t>(Fullboard)</t>
  </si>
  <si>
    <t>abweich. Preis*</t>
  </si>
  <si>
    <t>Summe A</t>
  </si>
  <si>
    <t>Summe B</t>
  </si>
  <si>
    <t>je Zimmertyp</t>
  </si>
  <si>
    <t>Bezeichnung</t>
  </si>
  <si>
    <r>
      <t xml:space="preserve">*) nur eingeben, wenn der Preis vom Listenpreis abweicht, ansonsten Zelleninhalt </t>
    </r>
    <r>
      <rPr>
        <b/>
        <sz val="11"/>
        <color theme="1"/>
        <rFont val="Calibri"/>
        <family val="2"/>
        <scheme val="minor"/>
      </rPr>
      <t>löschen</t>
    </r>
    <r>
      <rPr>
        <sz val="11"/>
        <color theme="1"/>
        <rFont val="Calibri"/>
        <family val="2"/>
        <scheme val="minor"/>
      </rPr>
      <t xml:space="preserve"> bzw. </t>
    </r>
    <r>
      <rPr>
        <b/>
        <sz val="11"/>
        <color theme="1"/>
        <rFont val="Calibri"/>
        <family val="2"/>
        <scheme val="minor"/>
      </rPr>
      <t>leer lassen</t>
    </r>
    <r>
      <rPr>
        <sz val="11"/>
        <color theme="1"/>
        <rFont val="Calibri"/>
        <family val="2"/>
        <scheme val="minor"/>
      </rPr>
      <t>!</t>
    </r>
  </si>
  <si>
    <t>Rechnungsadresse</t>
  </si>
  <si>
    <t>Strasse</t>
  </si>
  <si>
    <t>PLZ / Ort</t>
  </si>
  <si>
    <t>Land</t>
  </si>
  <si>
    <t>Zugewiesene Unterkunft</t>
  </si>
  <si>
    <t>Zugewiesene Kategorie</t>
  </si>
  <si>
    <t>Anzahl Shuttle (von/nach Vienna Airport)</t>
  </si>
  <si>
    <r>
      <t xml:space="preserve">Alle Zimmerpreise je </t>
    </r>
    <r>
      <rPr>
        <u/>
        <sz val="12"/>
        <color theme="1"/>
        <rFont val="Calibri (Textkörper)"/>
      </rPr>
      <t>Person</t>
    </r>
    <r>
      <rPr>
        <sz val="12"/>
        <color theme="1"/>
        <rFont val="Calibri"/>
        <family val="2"/>
        <scheme val="minor"/>
      </rPr>
      <t xml:space="preserve"> und Nacht</t>
    </r>
  </si>
  <si>
    <t>Anmerkung von AnmelderIn</t>
  </si>
  <si>
    <t>Gewünschte Kategorie</t>
  </si>
  <si>
    <t>Unterkunft / Accommodation</t>
  </si>
  <si>
    <t>Team</t>
  </si>
  <si>
    <t>Einzelzimmer / Single Room</t>
  </si>
  <si>
    <t>Doppelzimmer / Double Room</t>
  </si>
  <si>
    <t>Mehrbettzimmer / Shared Room</t>
  </si>
  <si>
    <t>Halbpension / Halfboard</t>
  </si>
  <si>
    <t>Vollpension / Fullboard</t>
  </si>
  <si>
    <t>Stempel und Unterschrift</t>
  </si>
  <si>
    <t>Zimmertyp / Room type*</t>
  </si>
  <si>
    <t>Rechnung / Invoice</t>
  </si>
  <si>
    <t>Invoice subtitle</t>
  </si>
  <si>
    <t>Pos.</t>
  </si>
  <si>
    <t>Bezeichnung / description</t>
  </si>
  <si>
    <t>Preis / price</t>
  </si>
  <si>
    <t>Menge / quantity</t>
  </si>
  <si>
    <t>Summe / sum</t>
  </si>
  <si>
    <t>Rechnungsdatum / Invoice date:</t>
  </si>
  <si>
    <t>Shuttle service</t>
  </si>
  <si>
    <t>Gesamtbetrag / Invoice total</t>
  </si>
  <si>
    <r>
      <rPr>
        <b/>
        <sz val="10"/>
        <color indexed="8"/>
        <rFont val="Calibri"/>
      </rPr>
      <t xml:space="preserve">Bank details
</t>
    </r>
    <r>
      <rPr>
        <sz val="10"/>
        <color theme="1"/>
        <rFont val="Calibri"/>
        <family val="2"/>
        <scheme val="minor"/>
      </rPr>
      <t>Name of Bank: Bank Austria
Address: Schottengasse 6 - 8, A-1010 Wien
Account Name: Austrian Judo Federation
IBAN: AT58 1200 0515 9437 4304
BIC (SWIFT): BKAUATWW
Please specify:</t>
    </r>
    <r>
      <rPr>
        <b/>
        <sz val="10"/>
        <color indexed="8"/>
        <rFont val="Calibri"/>
      </rPr>
      <t xml:space="preserve"> ECup Junior </t>
    </r>
    <r>
      <rPr>
        <b/>
        <i/>
        <sz val="10"/>
        <color indexed="8"/>
        <rFont val="Calibri"/>
      </rPr>
      <t>(NAME OF CLUB OR FEDERATION)</t>
    </r>
  </si>
  <si>
    <t>Summe / Quantity</t>
  </si>
  <si>
    <t xml:space="preserve">Summe Nächte / Total nights </t>
  </si>
  <si>
    <t xml:space="preserve">Summe Verpflegung / Total boards </t>
  </si>
  <si>
    <t>Anzahl Verpflegungen pro Tag / Number of boards per day</t>
  </si>
  <si>
    <t>Anzahl Personen pro Nacht / Number of persons per night</t>
  </si>
  <si>
    <t>Bestätigung Unterkunft / Hotel voucher</t>
  </si>
  <si>
    <r>
      <t xml:space="preserve">(Preise pro </t>
    </r>
    <r>
      <rPr>
        <u/>
        <sz val="9"/>
        <color theme="1"/>
        <rFont val="Calibri (Textkörper)"/>
      </rPr>
      <t>Person</t>
    </r>
    <r>
      <rPr>
        <sz val="9"/>
        <color theme="1"/>
        <rFont val="Calibri"/>
        <family val="2"/>
        <scheme val="minor"/>
      </rPr>
      <t xml:space="preserve"> und Nacht / Prices per </t>
    </r>
    <r>
      <rPr>
        <u/>
        <sz val="9"/>
        <color theme="1"/>
        <rFont val="Calibri (Textkörper)"/>
      </rPr>
      <t>person</t>
    </r>
    <r>
      <rPr>
        <sz val="9"/>
        <color theme="1"/>
        <rFont val="Calibri"/>
        <family val="2"/>
        <scheme val="minor"/>
      </rPr>
      <t xml:space="preserve"> and night)</t>
    </r>
  </si>
  <si>
    <t>Surname Rang</t>
  </si>
  <si>
    <t>Given Name Rang</t>
  </si>
  <si>
    <t>Sorted Name Id</t>
  </si>
  <si>
    <t>Dep DateTime</t>
  </si>
  <si>
    <t>Arr DateTime</t>
  </si>
  <si>
    <t>Arr DateTime Rang</t>
  </si>
  <si>
    <t>Dep DateTime Rang</t>
  </si>
  <si>
    <t>Dep Shuttle Rang</t>
  </si>
  <si>
    <t>Sorted Arr Id</t>
  </si>
  <si>
    <t>Sorted Dep Id</t>
  </si>
  <si>
    <t>ShuttleAtArrival</t>
  </si>
  <si>
    <t>ShuttleAtDeparture</t>
  </si>
  <si>
    <t>from Arrival location to
official hotel</t>
  </si>
  <si>
    <t>from official hotel to Departure location</t>
  </si>
  <si>
    <t xml:space="preserve">Federation </t>
  </si>
  <si>
    <t xml:space="preserve">Contact Person </t>
  </si>
  <si>
    <t xml:space="preserve">Phone number </t>
  </si>
  <si>
    <t xml:space="preserve">Email </t>
  </si>
  <si>
    <t xml:space="preserve">Position </t>
  </si>
  <si>
    <t xml:space="preserve">Select preferred hotel category </t>
  </si>
  <si>
    <t>Anzahl Personen je Tag, Zimmertyp und Geschlecht</t>
  </si>
  <si>
    <t>Rechnungsaussteller / Billing party</t>
  </si>
  <si>
    <t>Österreichischer Judo Verband</t>
  </si>
  <si>
    <t>A-1200 Wien</t>
  </si>
  <si>
    <t>Österreich</t>
  </si>
  <si>
    <t>Rechnungsempfänger / Bill to party</t>
  </si>
  <si>
    <t>Wehlistraße 29/1/111</t>
  </si>
  <si>
    <t>Check In</t>
  </si>
  <si>
    <t>Check In Liste</t>
  </si>
  <si>
    <t>Druckbereiche</t>
  </si>
  <si>
    <t>Visa Application</t>
  </si>
  <si>
    <t>Interne Bemerkung</t>
  </si>
  <si>
    <t>Single / BB</t>
  </si>
  <si>
    <t>Single / HB</t>
  </si>
  <si>
    <t>Single / FB</t>
  </si>
  <si>
    <t>Double / BB</t>
  </si>
  <si>
    <t>Double / HB</t>
  </si>
  <si>
    <t>Double / FB</t>
  </si>
  <si>
    <t>Shared / BB</t>
  </si>
  <si>
    <t>Shared / HB</t>
  </si>
  <si>
    <t>Shared / FB</t>
  </si>
  <si>
    <t>Betrag</t>
  </si>
  <si>
    <t>Rabatt</t>
  </si>
  <si>
    <t>Rabatt für Referees</t>
  </si>
  <si>
    <t>Referee discount</t>
  </si>
  <si>
    <r>
      <t xml:space="preserve">Please fill out this form </t>
    </r>
    <r>
      <rPr>
        <b/>
        <sz val="18"/>
        <color rgb="FFFF0000"/>
        <rFont val="Calibri"/>
        <family val="2"/>
        <scheme val="minor"/>
      </rPr>
      <t>accurately</t>
    </r>
    <r>
      <rPr>
        <sz val="18"/>
        <color rgb="FFFF0000"/>
        <rFont val="Calibri"/>
        <family val="2"/>
        <scheme val="minor"/>
      </rPr>
      <t xml:space="preserve">!
</t>
    </r>
    <r>
      <rPr>
        <sz val="14"/>
        <color rgb="FFFF0000"/>
        <rFont val="Calibri"/>
        <family val="2"/>
        <scheme val="minor"/>
      </rPr>
      <t xml:space="preserve">Finally send </t>
    </r>
    <r>
      <rPr>
        <u/>
        <sz val="14"/>
        <color rgb="FFFF0000"/>
        <rFont val="Calibri"/>
        <family val="2"/>
        <scheme val="minor"/>
      </rPr>
      <t>this Excel file</t>
    </r>
    <r>
      <rPr>
        <sz val="14"/>
        <color rgb="FFFF0000"/>
        <rFont val="Calibri"/>
        <family val="2"/>
        <scheme val="minor"/>
      </rPr>
      <t xml:space="preserve"> to </t>
    </r>
    <r>
      <rPr>
        <b/>
        <sz val="14"/>
        <color rgb="FFFF0000"/>
        <rFont val="Calibri"/>
        <family val="2"/>
        <scheme val="minor"/>
      </rPr>
      <t>europeancup@oejv.com</t>
    </r>
  </si>
  <si>
    <t>JUNIOR EUROPEAN JUDO CUP</t>
  </si>
  <si>
    <r>
      <t>Bed and Breakfast (</t>
    </r>
    <r>
      <rPr>
        <b/>
        <sz val="12"/>
        <color rgb="FFAF1C0C"/>
        <rFont val="Calibri (Textkörper)"/>
      </rPr>
      <t>BB</t>
    </r>
    <r>
      <rPr>
        <b/>
        <sz val="12"/>
        <color rgb="FF001489"/>
        <rFont val="Calibri"/>
        <family val="2"/>
        <scheme val="minor"/>
      </rPr>
      <t>)</t>
    </r>
  </si>
  <si>
    <r>
      <t>Halfboard with Dinner (</t>
    </r>
    <r>
      <rPr>
        <b/>
        <sz val="12"/>
        <color rgb="FFAF1C0C"/>
        <rFont val="Calibri (Textkörper)"/>
      </rPr>
      <t>HB</t>
    </r>
    <r>
      <rPr>
        <b/>
        <sz val="12"/>
        <color rgb="FF001489"/>
        <rFont val="Calibri"/>
        <family val="2"/>
        <scheme val="minor"/>
      </rPr>
      <t>)</t>
    </r>
  </si>
  <si>
    <r>
      <t>Fullboard (</t>
    </r>
    <r>
      <rPr>
        <b/>
        <sz val="12"/>
        <color rgb="FFAF1C0C"/>
        <rFont val="Calibri (Textkörper)"/>
      </rPr>
      <t>FB</t>
    </r>
    <r>
      <rPr>
        <b/>
        <sz val="12"/>
        <color rgb="FF001489"/>
        <rFont val="Calibri"/>
        <family val="2"/>
        <scheme val="minor"/>
      </rPr>
      <t>)</t>
    </r>
  </si>
  <si>
    <t>Last name</t>
  </si>
  <si>
    <t>First name</t>
  </si>
  <si>
    <r>
      <t xml:space="preserve">Violation of constraints mentioned above will be indicated in </t>
    </r>
    <r>
      <rPr>
        <b/>
        <sz val="12"/>
        <color rgb="FFFF0000"/>
        <rFont val="Calibri (Textkörper)"/>
      </rPr>
      <t>red</t>
    </r>
    <r>
      <rPr>
        <sz val="12"/>
        <rFont val="Calibri (Textkörper)"/>
      </rPr>
      <t xml:space="preserve"> color</t>
    </r>
    <r>
      <rPr>
        <sz val="12"/>
        <color theme="1"/>
        <rFont val="Calibri"/>
        <family val="2"/>
        <scheme val="minor"/>
      </rPr>
      <t>.</t>
    </r>
  </si>
  <si>
    <r>
      <t>Details for Visa application (</t>
    </r>
    <r>
      <rPr>
        <b/>
        <sz val="12"/>
        <color rgb="FFFF0000"/>
        <rFont val="Calibri"/>
        <family val="2"/>
        <scheme val="minor"/>
      </rPr>
      <t xml:space="preserve">enter data </t>
    </r>
    <r>
      <rPr>
        <b/>
        <u/>
        <sz val="12"/>
        <color rgb="FFFF0000"/>
        <rFont val="Calibri"/>
        <family val="2"/>
        <scheme val="minor"/>
      </rPr>
      <t>only</t>
    </r>
    <r>
      <rPr>
        <b/>
        <sz val="12"/>
        <color rgb="FFFF0000"/>
        <rFont val="Calibri"/>
        <family val="2"/>
        <scheme val="minor"/>
      </rPr>
      <t xml:space="preserve"> if Visa is necessary</t>
    </r>
    <r>
      <rPr>
        <b/>
        <sz val="12"/>
        <color rgb="FF001489"/>
        <rFont val="Calibri"/>
        <family val="2"/>
        <scheme val="minor"/>
      </rPr>
      <t>)</t>
    </r>
  </si>
  <si>
    <t>Junior European Judo Cup 2018, Leibnitz - Austria</t>
  </si>
  <si>
    <r>
      <rPr>
        <b/>
        <sz val="12"/>
        <color rgb="FF145A99"/>
        <rFont val="Calibri (Textkörper)"/>
      </rPr>
      <t>IJF WORLD JUNIOR TOUR</t>
    </r>
    <r>
      <rPr>
        <sz val="12"/>
        <color rgb="FF145A99"/>
        <rFont val="Calibri (Textkörper)"/>
      </rPr>
      <t xml:space="preserve">, June, 02 and 03, 2018 
</t>
    </r>
    <r>
      <rPr>
        <b/>
        <sz val="12"/>
        <color rgb="FF145A99"/>
        <rFont val="Calibri (Textkörper)"/>
      </rPr>
      <t>EJU JUNIOR TRAINING CAMP</t>
    </r>
    <r>
      <rPr>
        <sz val="12"/>
        <color rgb="FF145A99"/>
        <rFont val="Calibri (Textkörper)"/>
      </rPr>
      <t xml:space="preserve">, June 04 to 06, 2018 </t>
    </r>
    <r>
      <rPr>
        <b/>
        <sz val="12"/>
        <color rgb="FF145A99"/>
        <rFont val="Calibri (Textkörper)"/>
      </rPr>
      <t>(Leibnitz - Austria)</t>
    </r>
  </si>
  <si>
    <t>StartDate</t>
  </si>
  <si>
    <t>Day 1</t>
  </si>
  <si>
    <t>Day 2</t>
  </si>
  <si>
    <t>Day 3</t>
  </si>
  <si>
    <t>Day 4</t>
  </si>
  <si>
    <t>Day 5</t>
  </si>
  <si>
    <t>Day 6</t>
  </si>
  <si>
    <t>Day 7</t>
  </si>
  <si>
    <t>Day 8</t>
  </si>
  <si>
    <t>Day 9</t>
  </si>
  <si>
    <t>Entry Fee</t>
  </si>
  <si>
    <t>Entry Fee Billable</t>
  </si>
  <si>
    <t>Entry Fee EJU</t>
  </si>
  <si>
    <t>EntryFeeEJU</t>
  </si>
  <si>
    <t>Accred. Fee billable</t>
  </si>
  <si>
    <t>Entry Fee billable</t>
  </si>
  <si>
    <t>Entry Fee - EJU</t>
  </si>
  <si>
    <t>Entry Fee Athletes - EJU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</si>
</sst>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7">
    <numFmt numFmtId="5" formatCode="#,##0\ &quot;€&quot;;\-#,##0\ &quot;€&quot;"/>
    <numFmt numFmtId="41" formatCode="_-* #,##0\ _€_-;\-* #,##0\ _€_-;_-* &quot;-&quot;\ _€_-;_-@_-"/>
    <numFmt numFmtId="44" formatCode="_-* #,##0.00\ &quot;€&quot;_-;\-* #,##0.00\ &quot;€&quot;_-;_-* &quot;-&quot;??\ &quot;€&quot;_-;_-@_-"/>
    <numFmt numFmtId="164" formatCode="_-* #,##0_-;\-* #,##0_-;_-* &quot;-&quot;_-;_-@_-"/>
    <numFmt numFmtId="165" formatCode="mmm\ [$-809]dd;@"/>
    <numFmt numFmtId="166" formatCode="#,##0\ &quot;€&quot;"/>
    <numFmt numFmtId="167" formatCode="0&quot;.&quot;"/>
    <numFmt numFmtId="168" formatCode="[$-809]dd\ mmm\ yyyy;@"/>
    <numFmt numFmtId="169" formatCode="mmm\ [$-809]dd\ ;@"/>
    <numFmt numFmtId="170" formatCode="hh:mm;@"/>
    <numFmt numFmtId="171" formatCode="#,##0&quot; €&quot;"/>
    <numFmt numFmtId="172" formatCode="[$-809]d\ mmm\ yyyy;@"/>
    <numFmt numFmtId="173" formatCode="[$-809]dd\ mmm\ yy;@"/>
    <numFmt numFmtId="174" formatCode="_-* #,##0\ _€_-;\-* #,##0\ _€_-;_-* &quot;&quot;\ _€_-;_-@_-"/>
    <numFmt numFmtId="175" formatCode="#,##0.00\ &quot;€&quot;"/>
    <numFmt numFmtId="176" formatCode="mmm\ [$-809]d;@"/>
    <numFmt numFmtId="177" formatCode="[$-809]mmm\ dd;@"/>
  </numFmts>
  <fonts count="56"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color rgb="FF145A99"/>
      <name val="Calibri"/>
      <scheme val="minor"/>
    </font>
    <font>
      <b/>
      <sz val="12"/>
      <color theme="9" tint="0.59999389629810485"/>
      <name val="Calibri (Textkörper)"/>
    </font>
    <font>
      <b/>
      <sz val="12"/>
      <color theme="4" tint="0.59999389629810485"/>
      <name val="Calibri (Textkörper)"/>
    </font>
    <font>
      <u/>
      <sz val="12"/>
      <color theme="10"/>
      <name val="Calibri"/>
      <family val="2"/>
      <scheme val="minor"/>
    </font>
    <font>
      <sz val="12"/>
      <color rgb="FF145A99"/>
      <name val="Calibri"/>
      <scheme val="minor"/>
    </font>
    <font>
      <sz val="8"/>
      <name val="Calibri"/>
      <family val="2"/>
      <scheme val="minor"/>
    </font>
    <font>
      <b/>
      <sz val="20"/>
      <color rgb="FF145A99"/>
      <name val="Calibri"/>
      <scheme val="minor"/>
    </font>
    <font>
      <sz val="12"/>
      <color rgb="FF145A99"/>
      <name val="Calibri (Textkörper)"/>
    </font>
    <font>
      <sz val="10"/>
      <color indexed="8"/>
      <name val="Calibri"/>
    </font>
    <font>
      <b/>
      <sz val="12"/>
      <color rgb="FF145A99"/>
      <name val="Calibri"/>
    </font>
    <font>
      <sz val="9"/>
      <color indexed="8"/>
      <name val="Calibri"/>
    </font>
    <font>
      <u/>
      <sz val="12"/>
      <color theme="11"/>
      <name val="Calibri"/>
      <family val="2"/>
      <scheme val="minor"/>
    </font>
    <font>
      <sz val="12"/>
      <color rgb="FF000000"/>
      <name val="Calibri"/>
      <scheme val="minor"/>
    </font>
    <font>
      <sz val="12"/>
      <color indexed="8"/>
      <name val="Calibri"/>
    </font>
    <font>
      <b/>
      <u/>
      <sz val="12"/>
      <color theme="1"/>
      <name val="Calibri (Textkörper)"/>
    </font>
    <font>
      <b/>
      <sz val="12"/>
      <color rgb="FFC00000"/>
      <name val="Calibri (Textkörper)"/>
    </font>
    <font>
      <sz val="12"/>
      <name val="Calibri (Textkörper)"/>
    </font>
    <font>
      <b/>
      <sz val="12"/>
      <color rgb="FFC00000"/>
      <name val="Calibri"/>
      <scheme val="minor"/>
    </font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2"/>
      <color theme="1"/>
      <name val="Calibri (Textkörper)"/>
    </font>
    <font>
      <i/>
      <sz val="10"/>
      <color theme="1"/>
      <name val="Calibri"/>
      <scheme val="minor"/>
    </font>
    <font>
      <b/>
      <sz val="9"/>
      <color indexed="8"/>
      <name val="Calibri"/>
    </font>
    <font>
      <sz val="12"/>
      <color theme="1"/>
      <name val="Calibri (Textkörper)"/>
    </font>
    <font>
      <b/>
      <sz val="12"/>
      <color rgb="FF145A99"/>
      <name val="Calibri (Textkörper)"/>
    </font>
    <font>
      <sz val="9"/>
      <color theme="1"/>
      <name val="Calibri"/>
      <family val="2"/>
      <scheme val="minor"/>
    </font>
    <font>
      <b/>
      <sz val="10"/>
      <color indexed="8"/>
      <name val="Calibri"/>
    </font>
    <font>
      <b/>
      <i/>
      <sz val="10"/>
      <color indexed="8"/>
      <name val="Calibri"/>
    </font>
    <font>
      <u/>
      <sz val="9"/>
      <color theme="1"/>
      <name val="Calibri (Textkörper)"/>
    </font>
    <font>
      <b/>
      <sz val="12"/>
      <color theme="0"/>
      <name val="Calibri"/>
      <family val="2"/>
      <scheme val="minor"/>
    </font>
    <font>
      <sz val="18"/>
      <color rgb="FFFF0000"/>
      <name val="Calibri"/>
      <family val="2"/>
      <scheme val="minor"/>
    </font>
    <font>
      <b/>
      <sz val="18"/>
      <color rgb="FFFF0000"/>
      <name val="Calibri"/>
      <family val="2"/>
      <scheme val="minor"/>
    </font>
    <font>
      <sz val="12"/>
      <color rgb="FF145A99"/>
      <name val="Calibri"/>
      <family val="2"/>
      <scheme val="minor"/>
    </font>
    <font>
      <b/>
      <sz val="12"/>
      <color rgb="FF145A99"/>
      <name val="Calibri"/>
      <family val="2"/>
      <scheme val="minor"/>
    </font>
    <font>
      <sz val="14"/>
      <color rgb="FFFF0000"/>
      <name val="Calibri"/>
      <family val="2"/>
      <scheme val="minor"/>
    </font>
    <font>
      <b/>
      <sz val="14"/>
      <color rgb="FFFF0000"/>
      <name val="Calibri"/>
      <family val="2"/>
      <scheme val="minor"/>
    </font>
    <font>
      <u/>
      <sz val="14"/>
      <color rgb="FFFF0000"/>
      <name val="Calibri"/>
      <family val="2"/>
      <scheme val="minor"/>
    </font>
    <font>
      <b/>
      <sz val="20"/>
      <color rgb="FF001489"/>
      <name val="Calibri"/>
      <family val="2"/>
      <scheme val="minor"/>
    </font>
    <font>
      <b/>
      <sz val="12"/>
      <color rgb="FF001489"/>
      <name val="Calibri"/>
      <family val="2"/>
      <scheme val="minor"/>
    </font>
    <font>
      <sz val="12"/>
      <color rgb="FF001489"/>
      <name val="Calibri"/>
      <family val="2"/>
      <scheme val="minor"/>
    </font>
    <font>
      <b/>
      <sz val="12"/>
      <color rgb="FFAF1C0C"/>
      <name val="Calibri (Textkörper)"/>
    </font>
    <font>
      <b/>
      <sz val="12"/>
      <color rgb="FFAF1C0C"/>
      <name val="Calibri"/>
      <family val="2"/>
    </font>
    <font>
      <b/>
      <sz val="16"/>
      <color rgb="FF001489"/>
      <name val="Calibri"/>
      <family val="2"/>
      <scheme val="minor"/>
    </font>
    <font>
      <b/>
      <sz val="12"/>
      <color rgb="FFFF0000"/>
      <name val="Calibri (Textkörper)"/>
    </font>
    <font>
      <b/>
      <sz val="12"/>
      <color rgb="FF001489"/>
      <name val="Calibri"/>
      <family val="2"/>
    </font>
    <font>
      <b/>
      <sz val="10"/>
      <color rgb="FF001489"/>
      <name val="Calibri"/>
      <family val="2"/>
    </font>
    <font>
      <sz val="10"/>
      <color rgb="FF001489"/>
      <name val="Calibri"/>
      <family val="2"/>
    </font>
    <font>
      <b/>
      <sz val="14"/>
      <color rgb="FF001489"/>
      <name val="Calibri"/>
      <family val="2"/>
    </font>
    <font>
      <b/>
      <sz val="12"/>
      <color rgb="FFFF0000"/>
      <name val="Calibri"/>
      <family val="2"/>
      <scheme val="minor"/>
    </font>
    <font>
      <b/>
      <sz val="9"/>
      <color rgb="FF001489"/>
      <name val="Calibri"/>
      <family val="2"/>
    </font>
    <font>
      <b/>
      <sz val="9"/>
      <color rgb="FF001489"/>
      <name val="Calibri"/>
      <family val="2"/>
      <scheme val="minor"/>
    </font>
    <font>
      <b/>
      <u/>
      <sz val="12"/>
      <color rgb="FFFF0000"/>
      <name val="Calibri"/>
      <family val="2"/>
      <scheme val="minor"/>
    </font>
  </fonts>
  <fills count="19">
    <fill>
      <patternFill patternType="none"/>
    </fill>
    <fill>
      <patternFill patternType="gray125"/>
    </fill>
    <fill>
      <patternFill patternType="solid">
        <fgColor rgb="FFDCE8F2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7" tint="0.59996337778862885"/>
        <bgColor indexed="64"/>
      </patternFill>
    </fill>
    <fill>
      <patternFill patternType="solid">
        <fgColor theme="9" tint="0.59996337778862885"/>
        <bgColor indexed="64"/>
      </patternFill>
    </fill>
    <fill>
      <patternFill patternType="solid">
        <fgColor theme="4" tint="0.59996337778862885"/>
        <bgColor indexed="64"/>
      </patternFill>
    </fill>
    <fill>
      <patternFill patternType="solid">
        <fgColor theme="5" tint="0.599963377788628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D9E1F2"/>
        <bgColor rgb="FFD9E1F2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B6DCE2"/>
        <bgColor indexed="64"/>
      </patternFill>
    </fill>
    <fill>
      <patternFill patternType="solid">
        <fgColor theme="4"/>
        <bgColor theme="4"/>
      </patternFill>
    </fill>
    <fill>
      <patternFill patternType="solid">
        <fgColor theme="4" tint="0.59999389629810485"/>
        <bgColor theme="4" tint="0.59999389629810485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 tint="-0.249977111117893"/>
        <bgColor indexed="64"/>
      </patternFill>
    </fill>
  </fills>
  <borders count="130">
    <border>
      <left/>
      <right/>
      <top/>
      <bottom/>
      <diagonal/>
    </border>
    <border>
      <left style="medium">
        <color rgb="FF145A99"/>
      </left>
      <right style="thin">
        <color rgb="FF145A99"/>
      </right>
      <top style="medium">
        <color rgb="FF145A99"/>
      </top>
      <bottom style="thin">
        <color rgb="FF145A99"/>
      </bottom>
      <diagonal/>
    </border>
    <border>
      <left style="thin">
        <color rgb="FF145A99"/>
      </left>
      <right style="thin">
        <color rgb="FF145A99"/>
      </right>
      <top style="medium">
        <color rgb="FF145A99"/>
      </top>
      <bottom style="thin">
        <color rgb="FF145A99"/>
      </bottom>
      <diagonal/>
    </border>
    <border>
      <left style="thin">
        <color rgb="FF145A99"/>
      </left>
      <right style="medium">
        <color rgb="FF145A99"/>
      </right>
      <top style="medium">
        <color rgb="FF145A99"/>
      </top>
      <bottom style="thin">
        <color rgb="FF145A99"/>
      </bottom>
      <diagonal/>
    </border>
    <border>
      <left style="medium">
        <color rgb="FF145A99"/>
      </left>
      <right style="thin">
        <color rgb="FF145A99"/>
      </right>
      <top style="thin">
        <color rgb="FF145A99"/>
      </top>
      <bottom style="thin">
        <color rgb="FF145A99"/>
      </bottom>
      <diagonal/>
    </border>
    <border>
      <left style="thin">
        <color rgb="FF145A99"/>
      </left>
      <right style="thin">
        <color rgb="FF145A99"/>
      </right>
      <top style="thin">
        <color rgb="FF145A99"/>
      </top>
      <bottom style="thin">
        <color rgb="FF145A99"/>
      </bottom>
      <diagonal/>
    </border>
    <border>
      <left style="thin">
        <color rgb="FF145A99"/>
      </left>
      <right style="medium">
        <color rgb="FF145A99"/>
      </right>
      <top style="thin">
        <color rgb="FF145A99"/>
      </top>
      <bottom style="thin">
        <color rgb="FF145A99"/>
      </bottom>
      <diagonal/>
    </border>
    <border>
      <left style="medium">
        <color rgb="FF145A99"/>
      </left>
      <right style="thin">
        <color rgb="FF145A99"/>
      </right>
      <top style="thin">
        <color rgb="FF145A99"/>
      </top>
      <bottom style="medium">
        <color rgb="FF145A99"/>
      </bottom>
      <diagonal/>
    </border>
    <border>
      <left style="thin">
        <color rgb="FF145A99"/>
      </left>
      <right style="thin">
        <color rgb="FF145A99"/>
      </right>
      <top style="thin">
        <color rgb="FF145A99"/>
      </top>
      <bottom style="medium">
        <color rgb="FF145A99"/>
      </bottom>
      <diagonal/>
    </border>
    <border>
      <left style="thin">
        <color rgb="FF145A99"/>
      </left>
      <right style="medium">
        <color rgb="FF145A99"/>
      </right>
      <top style="thin">
        <color rgb="FF145A99"/>
      </top>
      <bottom style="medium">
        <color rgb="FF145A99"/>
      </bottom>
      <diagonal/>
    </border>
    <border>
      <left style="thin">
        <color rgb="FF145A99"/>
      </left>
      <right style="thin">
        <color rgb="FF145A99"/>
      </right>
      <top/>
      <bottom style="thin">
        <color rgb="FF145A99"/>
      </bottom>
      <diagonal/>
    </border>
    <border>
      <left/>
      <right style="thin">
        <color rgb="FF145A99"/>
      </right>
      <top style="thin">
        <color rgb="FF145A99"/>
      </top>
      <bottom style="thin">
        <color rgb="FF145A99"/>
      </bottom>
      <diagonal/>
    </border>
    <border>
      <left style="thin">
        <color rgb="FF145A99"/>
      </left>
      <right/>
      <top style="thin">
        <color rgb="FF145A99"/>
      </top>
      <bottom style="thin">
        <color rgb="FF145A99"/>
      </bottom>
      <diagonal/>
    </border>
    <border>
      <left/>
      <right style="thin">
        <color rgb="FF145A99"/>
      </right>
      <top/>
      <bottom style="thin">
        <color rgb="FF145A99"/>
      </bottom>
      <diagonal/>
    </border>
    <border>
      <left/>
      <right/>
      <top style="thin">
        <color rgb="FF145A99"/>
      </top>
      <bottom/>
      <diagonal/>
    </border>
    <border>
      <left style="medium">
        <color rgb="FF145A99"/>
      </left>
      <right/>
      <top/>
      <bottom style="medium">
        <color rgb="FF145A99"/>
      </bottom>
      <diagonal/>
    </border>
    <border>
      <left style="medium">
        <color rgb="FF145A99"/>
      </left>
      <right style="thin">
        <color rgb="FF145A99"/>
      </right>
      <top/>
      <bottom style="medium">
        <color rgb="FF145A99"/>
      </bottom>
      <diagonal/>
    </border>
    <border>
      <left style="thin">
        <color rgb="FF145A99"/>
      </left>
      <right style="thin">
        <color rgb="FF145A99"/>
      </right>
      <top/>
      <bottom style="medium">
        <color rgb="FF145A99"/>
      </bottom>
      <diagonal/>
    </border>
    <border>
      <left style="thin">
        <color rgb="FF145A99"/>
      </left>
      <right style="medium">
        <color rgb="FF145A99"/>
      </right>
      <top/>
      <bottom style="medium">
        <color rgb="FF145A99"/>
      </bottom>
      <diagonal/>
    </border>
    <border>
      <left style="medium">
        <color rgb="FF145A99"/>
      </left>
      <right style="medium">
        <color rgb="FF145A99"/>
      </right>
      <top style="thin">
        <color rgb="FF145A99"/>
      </top>
      <bottom style="medium">
        <color rgb="FF145A99"/>
      </bottom>
      <diagonal/>
    </border>
    <border>
      <left style="medium">
        <color rgb="FF145A99"/>
      </left>
      <right/>
      <top style="medium">
        <color rgb="FF145A99"/>
      </top>
      <bottom style="thin">
        <color rgb="FF145A99"/>
      </bottom>
      <diagonal/>
    </border>
    <border>
      <left/>
      <right/>
      <top style="thin">
        <color rgb="FF145A99"/>
      </top>
      <bottom style="thin">
        <color rgb="FF145A99"/>
      </bottom>
      <diagonal/>
    </border>
    <border>
      <left/>
      <right style="thin">
        <color rgb="FF145A99"/>
      </right>
      <top style="medium">
        <color rgb="FF145A99"/>
      </top>
      <bottom style="thin">
        <color rgb="FF145A99"/>
      </bottom>
      <diagonal/>
    </border>
    <border>
      <left/>
      <right style="thin">
        <color rgb="FF145A99"/>
      </right>
      <top/>
      <bottom style="medium">
        <color rgb="FF145A99"/>
      </bottom>
      <diagonal/>
    </border>
    <border>
      <left style="thin">
        <color rgb="FF145A99"/>
      </left>
      <right/>
      <top style="medium">
        <color rgb="FF145A99"/>
      </top>
      <bottom style="thin">
        <color rgb="FF145A99"/>
      </bottom>
      <diagonal/>
    </border>
    <border>
      <left style="medium">
        <color rgb="FF145A99"/>
      </left>
      <right style="medium">
        <color rgb="FF145A99"/>
      </right>
      <top/>
      <bottom style="medium">
        <color rgb="FF145A99"/>
      </bottom>
      <diagonal/>
    </border>
    <border>
      <left style="medium">
        <color rgb="FF145A99"/>
      </left>
      <right style="medium">
        <color rgb="FF145A99"/>
      </right>
      <top style="thin">
        <color rgb="FF145A99"/>
      </top>
      <bottom style="thin">
        <color rgb="FF145A99"/>
      </bottom>
      <diagonal/>
    </border>
    <border>
      <left/>
      <right/>
      <top style="medium">
        <color rgb="FF145A99"/>
      </top>
      <bottom style="thin">
        <color rgb="FF145A99"/>
      </bottom>
      <diagonal/>
    </border>
    <border>
      <left/>
      <right style="medium">
        <color rgb="FF145A99"/>
      </right>
      <top style="medium">
        <color rgb="FF145A99"/>
      </top>
      <bottom style="thin">
        <color rgb="FF145A99"/>
      </bottom>
      <diagonal/>
    </border>
    <border>
      <left style="medium">
        <color rgb="FF145A99"/>
      </left>
      <right style="medium">
        <color rgb="FF145A99"/>
      </right>
      <top style="medium">
        <color rgb="FF145A99"/>
      </top>
      <bottom/>
      <diagonal/>
    </border>
    <border>
      <left style="medium">
        <color rgb="FF145A99"/>
      </left>
      <right style="thin">
        <color rgb="FF145A99"/>
      </right>
      <top style="medium">
        <color rgb="FF145A99"/>
      </top>
      <bottom/>
      <diagonal/>
    </border>
    <border>
      <left style="medium">
        <color rgb="FF145A99"/>
      </left>
      <right/>
      <top style="thin">
        <color rgb="FF145A99"/>
      </top>
      <bottom style="medium">
        <color rgb="FF145A99"/>
      </bottom>
      <diagonal/>
    </border>
    <border>
      <left/>
      <right style="thin">
        <color rgb="FF145A99"/>
      </right>
      <top style="thin">
        <color rgb="FF145A99"/>
      </top>
      <bottom style="medium">
        <color rgb="FF145A99"/>
      </bottom>
      <diagonal/>
    </border>
    <border>
      <left style="medium">
        <color rgb="FF145A99"/>
      </left>
      <right/>
      <top style="thin">
        <color rgb="FF145A99"/>
      </top>
      <bottom style="thin">
        <color rgb="FF145A99"/>
      </bottom>
      <diagonal/>
    </border>
    <border>
      <left style="thin">
        <color rgb="FF145A99"/>
      </left>
      <right/>
      <top style="thin">
        <color rgb="FF145A99"/>
      </top>
      <bottom style="medium">
        <color rgb="FF145A99"/>
      </bottom>
      <diagonal/>
    </border>
    <border>
      <left style="thin">
        <color rgb="FF145A99"/>
      </left>
      <right style="thin">
        <color rgb="FF145A99"/>
      </right>
      <top style="medium">
        <color rgb="FF145A99"/>
      </top>
      <bottom/>
      <diagonal/>
    </border>
    <border>
      <left style="thin">
        <color rgb="FF145A99"/>
      </left>
      <right style="medium">
        <color rgb="FF145A99"/>
      </right>
      <top style="medium">
        <color rgb="FF145A99"/>
      </top>
      <bottom/>
      <diagonal/>
    </border>
    <border>
      <left/>
      <right style="medium">
        <color rgb="FF145A99"/>
      </right>
      <top style="medium">
        <color rgb="FF145A99"/>
      </top>
      <bottom style="medium">
        <color rgb="FF145A99"/>
      </bottom>
      <diagonal/>
    </border>
    <border>
      <left/>
      <right style="medium">
        <color rgb="FF145A99"/>
      </right>
      <top style="thin">
        <color rgb="FF145A99"/>
      </top>
      <bottom style="medium">
        <color rgb="FF145A99"/>
      </bottom>
      <diagonal/>
    </border>
    <border>
      <left style="medium">
        <color rgb="FF145A99"/>
      </left>
      <right style="medium">
        <color rgb="FF145A99"/>
      </right>
      <top style="medium">
        <color rgb="FF145A99"/>
      </top>
      <bottom style="thin">
        <color rgb="FF145A99"/>
      </bottom>
      <diagonal/>
    </border>
    <border>
      <left style="medium">
        <color rgb="FF145A99"/>
      </left>
      <right/>
      <top style="medium">
        <color rgb="FF145A99"/>
      </top>
      <bottom/>
      <diagonal/>
    </border>
    <border>
      <left/>
      <right/>
      <top style="thin">
        <color rgb="FF145A99"/>
      </top>
      <bottom style="medium">
        <color rgb="FF145A99"/>
      </bottom>
      <diagonal/>
    </border>
    <border>
      <left/>
      <right style="thin">
        <color rgb="FF145A99"/>
      </right>
      <top style="medium">
        <color rgb="FF145A99"/>
      </top>
      <bottom style="medium">
        <color rgb="FF145A99"/>
      </bottom>
      <diagonal/>
    </border>
    <border>
      <left style="thin">
        <color rgb="FF145A99"/>
      </left>
      <right/>
      <top style="medium">
        <color rgb="FF145A99"/>
      </top>
      <bottom style="medium">
        <color rgb="FF145A99"/>
      </bottom>
      <diagonal/>
    </border>
    <border>
      <left/>
      <right/>
      <top style="medium">
        <color rgb="FF145A99"/>
      </top>
      <bottom style="medium">
        <color rgb="FF145A99"/>
      </bottom>
      <diagonal/>
    </border>
    <border>
      <left style="medium">
        <color rgb="FF145A99"/>
      </left>
      <right/>
      <top style="medium">
        <color rgb="FF145A99"/>
      </top>
      <bottom style="medium">
        <color rgb="FF145A99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/>
      <right/>
      <top/>
      <bottom style="medium">
        <color rgb="FF145A99"/>
      </bottom>
      <diagonal/>
    </border>
    <border>
      <left/>
      <right style="medium">
        <color rgb="FF145A99"/>
      </right>
      <top/>
      <bottom style="medium">
        <color rgb="FF145A99"/>
      </bottom>
      <diagonal/>
    </border>
    <border>
      <left style="thin">
        <color rgb="FF145A99"/>
      </left>
      <right style="thin">
        <color rgb="FF145A99"/>
      </right>
      <top style="thin">
        <color rgb="FF145A99"/>
      </top>
      <bottom/>
      <diagonal/>
    </border>
    <border>
      <left style="thin">
        <color rgb="FF145A99"/>
      </left>
      <right style="medium">
        <color rgb="FF145A99"/>
      </right>
      <top style="thin">
        <color rgb="FF145A99"/>
      </top>
      <bottom/>
      <diagonal/>
    </border>
    <border>
      <left/>
      <right style="thin">
        <color rgb="FF145A99"/>
      </right>
      <top style="thin">
        <color rgb="FF145A99"/>
      </top>
      <bottom/>
      <diagonal/>
    </border>
    <border>
      <left style="thin">
        <color rgb="FF145A99"/>
      </left>
      <right/>
      <top/>
      <bottom style="thin">
        <color rgb="FF145A99"/>
      </bottom>
      <diagonal/>
    </border>
    <border>
      <left style="thin">
        <color rgb="FF145A99"/>
      </left>
      <right/>
      <top style="thin">
        <color rgb="FF145A99"/>
      </top>
      <bottom/>
      <diagonal/>
    </border>
    <border>
      <left style="medium">
        <color rgb="FF145A99"/>
      </left>
      <right/>
      <top style="thin">
        <color rgb="FF145A99"/>
      </top>
      <bottom/>
      <diagonal/>
    </border>
    <border>
      <left style="medium">
        <color rgb="FF145A99"/>
      </left>
      <right/>
      <top/>
      <bottom/>
      <diagonal/>
    </border>
    <border>
      <left/>
      <right style="medium">
        <color rgb="FF145A99"/>
      </right>
      <top style="thin">
        <color rgb="FF145A99"/>
      </top>
      <bottom/>
      <diagonal/>
    </border>
    <border>
      <left/>
      <right style="medium">
        <color rgb="FF145A99"/>
      </right>
      <top/>
      <bottom/>
      <diagonal/>
    </border>
    <border>
      <left/>
      <right/>
      <top style="medium">
        <color rgb="FF145A99"/>
      </top>
      <bottom/>
      <diagonal/>
    </border>
    <border>
      <left/>
      <right style="medium">
        <color rgb="FF145A99"/>
      </right>
      <top style="medium">
        <color rgb="FF145A99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145A99"/>
      </left>
      <right style="thin">
        <color rgb="FF145A99"/>
      </right>
      <top style="double">
        <color rgb="FF145A99"/>
      </top>
      <bottom style="thin">
        <color rgb="FF145A99"/>
      </bottom>
      <diagonal/>
    </border>
    <border>
      <left style="thin">
        <color rgb="FF145A99"/>
      </left>
      <right style="thin">
        <color rgb="FF145A99"/>
      </right>
      <top style="thin">
        <color rgb="FF145A99"/>
      </top>
      <bottom style="double">
        <color rgb="FF145A99"/>
      </bottom>
      <diagonal/>
    </border>
    <border>
      <left style="thin">
        <color rgb="FF145A99"/>
      </left>
      <right/>
      <top style="double">
        <color rgb="FF145A99"/>
      </top>
      <bottom style="thin">
        <color rgb="FF145A99"/>
      </bottom>
      <diagonal/>
    </border>
    <border>
      <left/>
      <right style="thin">
        <color rgb="FF145A99"/>
      </right>
      <top style="double">
        <color rgb="FF145A99"/>
      </top>
      <bottom style="thin">
        <color rgb="FF145A99"/>
      </bottom>
      <diagonal/>
    </border>
    <border>
      <left style="thin">
        <color rgb="FF145A99"/>
      </left>
      <right/>
      <top style="thin">
        <color rgb="FF145A99"/>
      </top>
      <bottom style="double">
        <color rgb="FF145A99"/>
      </bottom>
      <diagonal/>
    </border>
    <border>
      <left/>
      <right style="thin">
        <color rgb="FF145A99"/>
      </right>
      <top style="thin">
        <color rgb="FF145A99"/>
      </top>
      <bottom style="double">
        <color rgb="FF145A99"/>
      </bottom>
      <diagonal/>
    </border>
    <border>
      <left/>
      <right/>
      <top/>
      <bottom style="thick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 style="thin">
        <color rgb="FF145A99"/>
      </left>
      <right style="thin">
        <color rgb="FF145A99"/>
      </right>
      <top/>
      <bottom/>
      <diagonal/>
    </border>
    <border>
      <left/>
      <right style="medium">
        <color rgb="FF145A99"/>
      </right>
      <top style="thin">
        <color rgb="FF145A99"/>
      </top>
      <bottom style="thin">
        <color rgb="FF145A99"/>
      </bottom>
      <diagonal/>
    </border>
    <border>
      <left style="medium">
        <color rgb="FF145A99"/>
      </left>
      <right style="medium">
        <color rgb="FF145A99"/>
      </right>
      <top/>
      <bottom/>
      <diagonal/>
    </border>
    <border>
      <left style="medium">
        <color rgb="FF145A99"/>
      </left>
      <right style="thin">
        <color rgb="FF145A99"/>
      </right>
      <top style="thin">
        <color rgb="FF145A99"/>
      </top>
      <bottom/>
      <diagonal/>
    </border>
    <border>
      <left style="medium">
        <color rgb="FF001489"/>
      </left>
      <right style="thin">
        <color rgb="FF001489"/>
      </right>
      <top style="medium">
        <color rgb="FF001489"/>
      </top>
      <bottom style="thin">
        <color rgb="FF001489"/>
      </bottom>
      <diagonal/>
    </border>
    <border>
      <left style="thin">
        <color rgb="FF001489"/>
      </left>
      <right style="thin">
        <color rgb="FF001489"/>
      </right>
      <top style="medium">
        <color rgb="FF001489"/>
      </top>
      <bottom style="thin">
        <color rgb="FF001489"/>
      </bottom>
      <diagonal/>
    </border>
    <border>
      <left style="thin">
        <color rgb="FF001489"/>
      </left>
      <right/>
      <top style="medium">
        <color rgb="FF001489"/>
      </top>
      <bottom style="thin">
        <color rgb="FF001489"/>
      </bottom>
      <diagonal/>
    </border>
    <border>
      <left style="medium">
        <color rgb="FF001489"/>
      </left>
      <right style="thin">
        <color rgb="FF001489"/>
      </right>
      <top style="thin">
        <color rgb="FF001489"/>
      </top>
      <bottom style="thin">
        <color rgb="FF001489"/>
      </bottom>
      <diagonal/>
    </border>
    <border>
      <left style="thin">
        <color rgb="FF001489"/>
      </left>
      <right style="thin">
        <color rgb="FF001489"/>
      </right>
      <top style="thin">
        <color rgb="FF001489"/>
      </top>
      <bottom style="thin">
        <color rgb="FF001489"/>
      </bottom>
      <diagonal/>
    </border>
    <border>
      <left style="medium">
        <color rgb="FF001489"/>
      </left>
      <right style="thin">
        <color rgb="FF001489"/>
      </right>
      <top style="thin">
        <color rgb="FF001489"/>
      </top>
      <bottom style="medium">
        <color rgb="FF001489"/>
      </bottom>
      <diagonal/>
    </border>
    <border>
      <left style="thin">
        <color rgb="FF001489"/>
      </left>
      <right style="thin">
        <color rgb="FF001489"/>
      </right>
      <top style="thin">
        <color rgb="FF001489"/>
      </top>
      <bottom style="medium">
        <color rgb="FF001489"/>
      </bottom>
      <diagonal/>
    </border>
    <border>
      <left style="medium">
        <color rgb="FF001489"/>
      </left>
      <right style="medium">
        <color rgb="FF001489"/>
      </right>
      <top style="medium">
        <color rgb="FF001489"/>
      </top>
      <bottom style="medium">
        <color rgb="FF001489"/>
      </bottom>
      <diagonal/>
    </border>
    <border>
      <left style="thin">
        <color rgb="FF001489"/>
      </left>
      <right/>
      <top style="thin">
        <color rgb="FF001489"/>
      </top>
      <bottom style="thin">
        <color rgb="FF001489"/>
      </bottom>
      <diagonal/>
    </border>
    <border>
      <left style="thin">
        <color rgb="FF001489"/>
      </left>
      <right/>
      <top style="thin">
        <color rgb="FF001489"/>
      </top>
      <bottom style="medium">
        <color rgb="FF001489"/>
      </bottom>
      <diagonal/>
    </border>
    <border>
      <left style="thin">
        <color rgb="FF001489"/>
      </left>
      <right style="medium">
        <color rgb="FF001489"/>
      </right>
      <top style="medium">
        <color rgb="FF001489"/>
      </top>
      <bottom style="thin">
        <color rgb="FF001489"/>
      </bottom>
      <diagonal/>
    </border>
    <border>
      <left style="thin">
        <color rgb="FF001489"/>
      </left>
      <right style="medium">
        <color rgb="FF001489"/>
      </right>
      <top style="thin">
        <color rgb="FF001489"/>
      </top>
      <bottom style="medium">
        <color rgb="FF001489"/>
      </bottom>
      <diagonal/>
    </border>
    <border>
      <left style="medium">
        <color rgb="FF001489"/>
      </left>
      <right style="thin">
        <color rgb="FF001489"/>
      </right>
      <top style="medium">
        <color rgb="FF001489"/>
      </top>
      <bottom style="medium">
        <color rgb="FF001489"/>
      </bottom>
      <diagonal/>
    </border>
    <border>
      <left style="thin">
        <color rgb="FF001489"/>
      </left>
      <right style="thin">
        <color rgb="FF001489"/>
      </right>
      <top style="medium">
        <color rgb="FF001489"/>
      </top>
      <bottom style="medium">
        <color rgb="FF001489"/>
      </bottom>
      <diagonal/>
    </border>
    <border>
      <left style="thin">
        <color rgb="FF001489"/>
      </left>
      <right style="medium">
        <color rgb="FF001489"/>
      </right>
      <top style="medium">
        <color rgb="FF001489"/>
      </top>
      <bottom style="medium">
        <color rgb="FF001489"/>
      </bottom>
      <diagonal/>
    </border>
    <border>
      <left style="medium">
        <color rgb="FF001489"/>
      </left>
      <right/>
      <top style="medium">
        <color rgb="FF001489"/>
      </top>
      <bottom style="thin">
        <color rgb="FF001489"/>
      </bottom>
      <diagonal/>
    </border>
    <border>
      <left/>
      <right/>
      <top style="medium">
        <color rgb="FF001489"/>
      </top>
      <bottom style="thin">
        <color rgb="FF001489"/>
      </bottom>
      <diagonal/>
    </border>
    <border>
      <left/>
      <right style="medium">
        <color rgb="FF001489"/>
      </right>
      <top style="medium">
        <color rgb="FF001489"/>
      </top>
      <bottom style="thin">
        <color rgb="FF001489"/>
      </bottom>
      <diagonal/>
    </border>
    <border>
      <left style="medium">
        <color rgb="FF001489"/>
      </left>
      <right/>
      <top style="thin">
        <color rgb="FF001489"/>
      </top>
      <bottom style="thin">
        <color rgb="FF001489"/>
      </bottom>
      <diagonal/>
    </border>
    <border>
      <left/>
      <right/>
      <top style="thin">
        <color rgb="FF001489"/>
      </top>
      <bottom style="thin">
        <color rgb="FF001489"/>
      </bottom>
      <diagonal/>
    </border>
    <border>
      <left/>
      <right style="medium">
        <color rgb="FF001489"/>
      </right>
      <top style="thin">
        <color rgb="FF001489"/>
      </top>
      <bottom style="thin">
        <color rgb="FF001489"/>
      </bottom>
      <diagonal/>
    </border>
    <border>
      <left style="medium">
        <color rgb="FF001489"/>
      </left>
      <right/>
      <top style="thin">
        <color rgb="FF001489"/>
      </top>
      <bottom style="medium">
        <color rgb="FF001489"/>
      </bottom>
      <diagonal/>
    </border>
    <border>
      <left/>
      <right/>
      <top style="thin">
        <color rgb="FF001489"/>
      </top>
      <bottom style="medium">
        <color rgb="FF001489"/>
      </bottom>
      <diagonal/>
    </border>
    <border>
      <left/>
      <right style="medium">
        <color rgb="FF001489"/>
      </right>
      <top style="thin">
        <color rgb="FF001489"/>
      </top>
      <bottom style="medium">
        <color rgb="FF001489"/>
      </bottom>
      <diagonal/>
    </border>
    <border>
      <left style="thin">
        <color rgb="FF001489"/>
      </left>
      <right style="medium">
        <color rgb="FF001489"/>
      </right>
      <top style="thin">
        <color rgb="FF001489"/>
      </top>
      <bottom style="thin">
        <color rgb="FF001489"/>
      </bottom>
      <diagonal/>
    </border>
    <border>
      <left style="medium">
        <color rgb="FF001489"/>
      </left>
      <right style="thin">
        <color rgb="FF001489"/>
      </right>
      <top style="medium">
        <color rgb="FF001489"/>
      </top>
      <bottom/>
      <diagonal/>
    </border>
    <border>
      <left style="thin">
        <color rgb="FF001489"/>
      </left>
      <right style="thin">
        <color rgb="FF001489"/>
      </right>
      <top style="medium">
        <color rgb="FF001489"/>
      </top>
      <bottom/>
      <diagonal/>
    </border>
    <border>
      <left style="thin">
        <color rgb="FF001489"/>
      </left>
      <right style="medium">
        <color rgb="FF001489"/>
      </right>
      <top style="medium">
        <color rgb="FF001489"/>
      </top>
      <bottom/>
      <diagonal/>
    </border>
    <border>
      <left style="medium">
        <color rgb="FF001489"/>
      </left>
      <right style="thin">
        <color rgb="FF001489"/>
      </right>
      <top/>
      <bottom style="thin">
        <color rgb="FF001489"/>
      </bottom>
      <diagonal/>
    </border>
    <border>
      <left style="thin">
        <color rgb="FF001489"/>
      </left>
      <right style="thin">
        <color rgb="FF001489"/>
      </right>
      <top/>
      <bottom style="thin">
        <color rgb="FF001489"/>
      </bottom>
      <diagonal/>
    </border>
    <border>
      <left style="thin">
        <color rgb="FF001489"/>
      </left>
      <right style="medium">
        <color rgb="FF001489"/>
      </right>
      <top/>
      <bottom style="thin">
        <color rgb="FF001489"/>
      </bottom>
      <diagonal/>
    </border>
    <border>
      <left style="medium">
        <color rgb="FF001489"/>
      </left>
      <right style="thin">
        <color rgb="FF001489"/>
      </right>
      <top style="thin">
        <color rgb="FF001489"/>
      </top>
      <bottom/>
      <diagonal/>
    </border>
    <border>
      <left style="thin">
        <color rgb="FF001489"/>
      </left>
      <right style="thin">
        <color rgb="FF001489"/>
      </right>
      <top style="thin">
        <color rgb="FF001489"/>
      </top>
      <bottom/>
      <diagonal/>
    </border>
    <border>
      <left style="thin">
        <color rgb="FF001489"/>
      </left>
      <right style="medium">
        <color rgb="FF001489"/>
      </right>
      <top style="thin">
        <color rgb="FF001489"/>
      </top>
      <bottom/>
      <diagonal/>
    </border>
    <border>
      <left style="thin">
        <color rgb="FF001489"/>
      </left>
      <right/>
      <top style="medium">
        <color rgb="FF001489"/>
      </top>
      <bottom style="medium">
        <color rgb="FF001489"/>
      </bottom>
      <diagonal/>
    </border>
    <border>
      <left style="thin">
        <color rgb="FF001489"/>
      </left>
      <right/>
      <top/>
      <bottom style="thin">
        <color rgb="FF001489"/>
      </bottom>
      <diagonal/>
    </border>
    <border>
      <left style="thin">
        <color rgb="FF001489"/>
      </left>
      <right/>
      <top style="thin">
        <color rgb="FF001489"/>
      </top>
      <bottom/>
      <diagonal/>
    </border>
    <border>
      <left style="medium">
        <color rgb="FF001489"/>
      </left>
      <right style="medium">
        <color rgb="FF001489"/>
      </right>
      <top/>
      <bottom style="thin">
        <color rgb="FF001489"/>
      </bottom>
      <diagonal/>
    </border>
    <border>
      <left style="medium">
        <color rgb="FF001489"/>
      </left>
      <right style="medium">
        <color rgb="FF001489"/>
      </right>
      <top style="thin">
        <color rgb="FF001489"/>
      </top>
      <bottom/>
      <diagonal/>
    </border>
    <border>
      <left/>
      <right style="thin">
        <color rgb="FF001489"/>
      </right>
      <top style="medium">
        <color rgb="FF001489"/>
      </top>
      <bottom style="medium">
        <color rgb="FF001489"/>
      </bottom>
      <diagonal/>
    </border>
    <border>
      <left/>
      <right style="thin">
        <color rgb="FF001489"/>
      </right>
      <top/>
      <bottom style="thin">
        <color rgb="FF001489"/>
      </bottom>
      <diagonal/>
    </border>
    <border>
      <left/>
      <right style="thin">
        <color rgb="FF001489"/>
      </right>
      <top style="thin">
        <color rgb="FF001489"/>
      </top>
      <bottom/>
      <diagonal/>
    </border>
    <border>
      <left/>
      <right style="thin">
        <color rgb="FF001489"/>
      </right>
      <top style="thin">
        <color rgb="FF001489"/>
      </top>
      <bottom style="thin">
        <color rgb="FF001489"/>
      </bottom>
      <diagonal/>
    </border>
    <border>
      <left style="medium">
        <color rgb="FF001489"/>
      </left>
      <right style="medium">
        <color rgb="FF001489"/>
      </right>
      <top style="medium">
        <color rgb="FF001489"/>
      </top>
      <bottom style="thin">
        <color rgb="FF001489"/>
      </bottom>
      <diagonal/>
    </border>
    <border>
      <left/>
      <right/>
      <top style="thin">
        <color rgb="FF001489"/>
      </top>
      <bottom/>
      <diagonal/>
    </border>
    <border>
      <left style="medium">
        <color rgb="FF001489"/>
      </left>
      <right style="medium">
        <color rgb="FF001489"/>
      </right>
      <top style="thin">
        <color rgb="FF001489"/>
      </top>
      <bottom style="thin">
        <color rgb="FF001489"/>
      </bottom>
      <diagonal/>
    </border>
    <border>
      <left/>
      <right/>
      <top/>
      <bottom style="double">
        <color rgb="FF145A99"/>
      </bottom>
      <diagonal/>
    </border>
    <border>
      <left/>
      <right/>
      <top style="medium">
        <color rgb="FF001489"/>
      </top>
      <bottom style="double">
        <color rgb="FF001489"/>
      </bottom>
      <diagonal/>
    </border>
    <border>
      <left style="medium">
        <color rgb="FF001489"/>
      </left>
      <right/>
      <top/>
      <bottom style="thin">
        <color rgb="FF001489"/>
      </bottom>
      <diagonal/>
    </border>
    <border>
      <left style="medium">
        <color rgb="FF001489"/>
      </left>
      <right style="medium">
        <color rgb="FF001489"/>
      </right>
      <top style="thin">
        <color rgb="FF001489"/>
      </top>
      <bottom style="medium">
        <color rgb="FF001489"/>
      </bottom>
      <diagonal/>
    </border>
    <border>
      <left/>
      <right/>
      <top/>
      <bottom style="thin">
        <color rgb="FF001489"/>
      </bottom>
      <diagonal/>
    </border>
    <border>
      <left style="medium">
        <color rgb="FF001489"/>
      </left>
      <right style="thin">
        <color rgb="FF145A99"/>
      </right>
      <top style="medium">
        <color rgb="FF001489"/>
      </top>
      <bottom style="thin">
        <color rgb="FF145A99"/>
      </bottom>
      <diagonal/>
    </border>
    <border>
      <left style="thin">
        <color rgb="FF145A99"/>
      </left>
      <right style="medium">
        <color rgb="FF001489"/>
      </right>
      <top style="medium">
        <color rgb="FF001489"/>
      </top>
      <bottom style="thin">
        <color rgb="FF145A99"/>
      </bottom>
      <diagonal/>
    </border>
    <border>
      <left style="medium">
        <color rgb="FF001489"/>
      </left>
      <right style="thin">
        <color rgb="FF145A99"/>
      </right>
      <top style="thin">
        <color rgb="FF145A99"/>
      </top>
      <bottom style="medium">
        <color rgb="FF001489"/>
      </bottom>
      <diagonal/>
    </border>
    <border>
      <left style="thin">
        <color rgb="FF145A99"/>
      </left>
      <right style="medium">
        <color rgb="FF001489"/>
      </right>
      <top style="thin">
        <color rgb="FF145A99"/>
      </top>
      <bottom style="medium">
        <color rgb="FF001489"/>
      </bottom>
      <diagonal/>
    </border>
  </borders>
  <cellStyleXfs count="11">
    <xf numFmtId="0" fontId="0" fillId="0" borderId="0"/>
    <xf numFmtId="0" fontId="6" fillId="0" borderId="0" applyNumberFormat="0" applyFill="0" applyBorder="0" applyAlignment="0" applyProtection="0"/>
    <xf numFmtId="0" fontId="11" fillId="0" borderId="0" applyNumberFormat="0" applyFill="0" applyBorder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</cellStyleXfs>
  <cellXfs count="680">
    <xf numFmtId="0" fontId="0" fillId="0" borderId="0" xfId="0"/>
    <xf numFmtId="0" fontId="0" fillId="0" borderId="0" xfId="0" quotePrefix="1"/>
    <xf numFmtId="0" fontId="2" fillId="0" borderId="0" xfId="0" applyFont="1"/>
    <xf numFmtId="165" fontId="0" fillId="0" borderId="0" xfId="0" applyNumberFormat="1"/>
    <xf numFmtId="166" fontId="0" fillId="0" borderId="0" xfId="0" applyNumberFormat="1"/>
    <xf numFmtId="0" fontId="0" fillId="0" borderId="0" xfId="0" applyAlignment="1">
      <alignment wrapText="1"/>
    </xf>
    <xf numFmtId="0" fontId="0" fillId="0" borderId="0" xfId="0" applyAlignment="1">
      <alignment vertical="top"/>
    </xf>
    <xf numFmtId="0" fontId="3" fillId="3" borderId="17" xfId="0" applyFont="1" applyFill="1" applyBorder="1" applyAlignment="1">
      <alignment horizontal="center" wrapText="1"/>
    </xf>
    <xf numFmtId="0" fontId="3" fillId="5" borderId="17" xfId="0" applyFont="1" applyFill="1" applyBorder="1" applyAlignment="1">
      <alignment horizontal="center" wrapText="1"/>
    </xf>
    <xf numFmtId="0" fontId="3" fillId="0" borderId="20" xfId="0" applyFont="1" applyFill="1" applyBorder="1"/>
    <xf numFmtId="0" fontId="3" fillId="0" borderId="15" xfId="0" applyFont="1" applyFill="1" applyBorder="1" applyAlignment="1">
      <alignment wrapText="1"/>
    </xf>
    <xf numFmtId="0" fontId="3" fillId="6" borderId="17" xfId="0" applyFont="1" applyFill="1" applyBorder="1" applyAlignment="1">
      <alignment horizontal="center" wrapText="1"/>
    </xf>
    <xf numFmtId="44" fontId="0" fillId="0" borderId="0" xfId="0" applyNumberFormat="1"/>
    <xf numFmtId="0" fontId="0" fillId="0" borderId="20" xfId="0" applyNumberFormat="1" applyBorder="1" applyAlignment="1">
      <alignment vertical="top"/>
    </xf>
    <xf numFmtId="0" fontId="0" fillId="0" borderId="33" xfId="0" applyNumberFormat="1" applyBorder="1" applyAlignment="1">
      <alignment vertical="top"/>
    </xf>
    <xf numFmtId="0" fontId="0" fillId="0" borderId="31" xfId="0" applyNumberFormat="1" applyBorder="1" applyAlignment="1">
      <alignment vertical="top"/>
    </xf>
    <xf numFmtId="0" fontId="2" fillId="0" borderId="0" xfId="0" applyFont="1" applyAlignment="1">
      <alignment horizontal="center"/>
    </xf>
    <xf numFmtId="0" fontId="0" fillId="0" borderId="0" xfId="0" applyNumberFormat="1" applyAlignment="1">
      <alignment vertical="top"/>
    </xf>
    <xf numFmtId="0" fontId="2" fillId="0" borderId="0" xfId="0" applyFont="1" applyAlignment="1">
      <alignment horizontal="center"/>
    </xf>
    <xf numFmtId="0" fontId="15" fillId="9" borderId="46" xfId="0" applyFont="1" applyFill="1" applyBorder="1"/>
    <xf numFmtId="0" fontId="3" fillId="0" borderId="31" xfId="0" applyFont="1" applyFill="1" applyBorder="1" applyAlignment="1">
      <alignment wrapText="1"/>
    </xf>
    <xf numFmtId="0" fontId="3" fillId="3" borderId="8" xfId="0" applyFont="1" applyFill="1" applyBorder="1" applyAlignment="1">
      <alignment horizontal="center" wrapText="1"/>
    </xf>
    <xf numFmtId="0" fontId="3" fillId="5" borderId="8" xfId="0" applyFont="1" applyFill="1" applyBorder="1" applyAlignment="1">
      <alignment horizontal="center" wrapText="1"/>
    </xf>
    <xf numFmtId="0" fontId="3" fillId="6" borderId="8" xfId="0" applyFont="1" applyFill="1" applyBorder="1" applyAlignment="1">
      <alignment horizontal="center" wrapText="1"/>
    </xf>
    <xf numFmtId="0" fontId="0" fillId="0" borderId="0" xfId="0" applyAlignment="1">
      <alignment horizontal="center"/>
    </xf>
    <xf numFmtId="0" fontId="0" fillId="0" borderId="2" xfId="0" applyBorder="1"/>
    <xf numFmtId="44" fontId="2" fillId="0" borderId="3" xfId="0" applyNumberFormat="1" applyFont="1" applyBorder="1"/>
    <xf numFmtId="0" fontId="0" fillId="0" borderId="8" xfId="0" applyBorder="1"/>
    <xf numFmtId="44" fontId="2" fillId="0" borderId="9" xfId="0" applyNumberFormat="1" applyFont="1" applyBorder="1"/>
    <xf numFmtId="44" fontId="2" fillId="0" borderId="0" xfId="0" applyNumberFormat="1" applyFont="1" applyBorder="1"/>
    <xf numFmtId="0" fontId="9" fillId="0" borderId="0" xfId="0" applyFont="1" applyAlignment="1">
      <alignment vertical="center"/>
    </xf>
    <xf numFmtId="0" fontId="7" fillId="0" borderId="0" xfId="0" applyFont="1" applyAlignment="1">
      <alignment vertical="center" wrapText="1"/>
    </xf>
    <xf numFmtId="0" fontId="7" fillId="0" borderId="0" xfId="0" applyFont="1" applyAlignment="1"/>
    <xf numFmtId="175" fontId="0" fillId="8" borderId="4" xfId="0" applyNumberFormat="1" applyFill="1" applyBorder="1" applyProtection="1">
      <protection locked="0"/>
    </xf>
    <xf numFmtId="175" fontId="0" fillId="8" borderId="11" xfId="0" applyNumberFormat="1" applyFill="1" applyBorder="1" applyProtection="1">
      <protection locked="0"/>
    </xf>
    <xf numFmtId="0" fontId="0" fillId="0" borderId="12" xfId="0" applyFill="1" applyBorder="1" applyAlignment="1" applyProtection="1">
      <alignment horizontal="left"/>
    </xf>
    <xf numFmtId="0" fontId="7" fillId="0" borderId="0" xfId="0" applyFont="1" applyFill="1" applyBorder="1" applyAlignment="1" applyProtection="1">
      <alignment horizontal="right"/>
    </xf>
    <xf numFmtId="0" fontId="0" fillId="0" borderId="0" xfId="0" applyFill="1" applyBorder="1" applyAlignment="1" applyProtection="1">
      <alignment horizontal="left"/>
    </xf>
    <xf numFmtId="0" fontId="3" fillId="0" borderId="0" xfId="0" applyFont="1" applyAlignment="1">
      <alignment vertical="center" wrapText="1"/>
    </xf>
    <xf numFmtId="0" fontId="26" fillId="0" borderId="0" xfId="0" applyFont="1" applyAlignment="1"/>
    <xf numFmtId="0" fontId="0" fillId="0" borderId="0" xfId="0" applyFont="1" applyAlignment="1"/>
    <xf numFmtId="0" fontId="16" fillId="0" borderId="0" xfId="0" applyFont="1" applyAlignment="1"/>
    <xf numFmtId="0" fontId="13" fillId="0" borderId="0" xfId="0" applyFont="1" applyBorder="1" applyAlignment="1"/>
    <xf numFmtId="0" fontId="0" fillId="0" borderId="0" xfId="0" applyProtection="1"/>
    <xf numFmtId="0" fontId="7" fillId="2" borderId="5" xfId="0" applyFont="1" applyFill="1" applyBorder="1" applyAlignment="1" applyProtection="1">
      <alignment horizontal="right"/>
    </xf>
    <xf numFmtId="0" fontId="7" fillId="13" borderId="5" xfId="0" applyFont="1" applyFill="1" applyBorder="1" applyProtection="1"/>
    <xf numFmtId="0" fontId="3" fillId="13" borderId="5" xfId="0" applyFont="1" applyFill="1" applyBorder="1" applyProtection="1"/>
    <xf numFmtId="0" fontId="0" fillId="0" borderId="5" xfId="0" applyBorder="1" applyProtection="1"/>
    <xf numFmtId="0" fontId="0" fillId="0" borderId="49" xfId="0" applyBorder="1" applyProtection="1"/>
    <xf numFmtId="0" fontId="0" fillId="0" borderId="63" xfId="0" applyBorder="1" applyProtection="1"/>
    <xf numFmtId="0" fontId="0" fillId="0" borderId="64" xfId="0" applyBorder="1" applyProtection="1"/>
    <xf numFmtId="0" fontId="3" fillId="12" borderId="5" xfId="0" applyFont="1" applyFill="1" applyBorder="1" applyProtection="1"/>
    <xf numFmtId="0" fontId="3" fillId="12" borderId="60" xfId="0" applyFont="1" applyFill="1" applyBorder="1" applyProtection="1"/>
    <xf numFmtId="165" fontId="7" fillId="11" borderId="5" xfId="0" applyNumberFormat="1" applyFont="1" applyFill="1" applyBorder="1" applyAlignment="1" applyProtection="1">
      <alignment horizontal="center"/>
    </xf>
    <xf numFmtId="0" fontId="3" fillId="11" borderId="5" xfId="0" applyFont="1" applyFill="1" applyBorder="1" applyProtection="1"/>
    <xf numFmtId="0" fontId="7" fillId="11" borderId="5" xfId="0" applyFont="1" applyFill="1" applyBorder="1" applyProtection="1"/>
    <xf numFmtId="41" fontId="0" fillId="0" borderId="26" xfId="0" applyNumberFormat="1" applyBorder="1" applyProtection="1"/>
    <xf numFmtId="175" fontId="0" fillId="0" borderId="6" xfId="0" applyNumberFormat="1" applyBorder="1" applyProtection="1"/>
    <xf numFmtId="41" fontId="0" fillId="0" borderId="0" xfId="0" applyNumberFormat="1" applyProtection="1"/>
    <xf numFmtId="175" fontId="0" fillId="0" borderId="0" xfId="0" applyNumberFormat="1" applyProtection="1"/>
    <xf numFmtId="0" fontId="21" fillId="0" borderId="0" xfId="0" applyFont="1" applyProtection="1"/>
    <xf numFmtId="0" fontId="22" fillId="0" borderId="0" xfId="0" applyFont="1" applyBorder="1" applyAlignment="1" applyProtection="1">
      <alignment horizontal="left" vertical="top" wrapText="1"/>
      <protection locked="0"/>
    </xf>
    <xf numFmtId="0" fontId="0" fillId="0" borderId="0" xfId="0" applyAlignment="1">
      <alignment horizontal="center"/>
    </xf>
    <xf numFmtId="0" fontId="22" fillId="0" borderId="0" xfId="0" applyFont="1" applyBorder="1" applyAlignment="1" applyProtection="1">
      <alignment horizontal="left" vertical="top" wrapText="1"/>
    </xf>
    <xf numFmtId="0" fontId="33" fillId="14" borderId="69" xfId="0" applyFont="1" applyFill="1" applyBorder="1" applyAlignment="1">
      <alignment wrapText="1"/>
    </xf>
    <xf numFmtId="0" fontId="0" fillId="15" borderId="70" xfId="0" applyFont="1" applyFill="1" applyBorder="1" applyAlignment="1">
      <alignment vertical="top"/>
    </xf>
    <xf numFmtId="0" fontId="0" fillId="16" borderId="70" xfId="0" applyFont="1" applyFill="1" applyBorder="1" applyAlignment="1">
      <alignment vertical="top"/>
    </xf>
    <xf numFmtId="165" fontId="7" fillId="2" borderId="17" xfId="0" applyNumberFormat="1" applyFont="1" applyFill="1" applyBorder="1" applyAlignment="1">
      <alignment wrapText="1"/>
    </xf>
    <xf numFmtId="0" fontId="0" fillId="0" borderId="0" xfId="0" applyNumberFormat="1"/>
    <xf numFmtId="0" fontId="3" fillId="2" borderId="40" xfId="0" applyNumberFormat="1" applyFont="1" applyFill="1" applyBorder="1" applyAlignment="1">
      <alignment horizontal="center"/>
    </xf>
    <xf numFmtId="0" fontId="3" fillId="2" borderId="25" xfId="0" applyNumberFormat="1" applyFont="1" applyFill="1" applyBorder="1" applyAlignment="1">
      <alignment horizontal="center" wrapText="1"/>
    </xf>
    <xf numFmtId="0" fontId="7" fillId="2" borderId="17" xfId="0" applyNumberFormat="1" applyFont="1" applyFill="1" applyBorder="1" applyAlignment="1">
      <alignment wrapText="1"/>
    </xf>
    <xf numFmtId="0" fontId="0" fillId="0" borderId="0" xfId="0" applyNumberFormat="1" applyFont="1" applyBorder="1" applyAlignment="1">
      <alignment vertical="top"/>
    </xf>
    <xf numFmtId="0" fontId="2" fillId="0" borderId="0" xfId="0" applyNumberFormat="1" applyFont="1" applyBorder="1"/>
    <xf numFmtId="0" fontId="0" fillId="0" borderId="2" xfId="0" applyNumberFormat="1" applyFont="1" applyBorder="1" applyAlignment="1" applyProtection="1">
      <alignment horizontal="center" vertical="top"/>
    </xf>
    <xf numFmtId="0" fontId="0" fillId="0" borderId="5" xfId="0" applyNumberFormat="1" applyFont="1" applyBorder="1" applyAlignment="1" applyProtection="1">
      <alignment horizontal="center" vertical="top"/>
    </xf>
    <xf numFmtId="0" fontId="0" fillId="0" borderId="8" xfId="0" applyNumberFormat="1" applyFont="1" applyBorder="1" applyAlignment="1" applyProtection="1">
      <alignment horizontal="center" vertical="top"/>
    </xf>
    <xf numFmtId="0" fontId="0" fillId="8" borderId="5" xfId="0" applyFill="1" applyBorder="1" applyProtection="1">
      <protection locked="0"/>
    </xf>
    <xf numFmtId="168" fontId="0" fillId="0" borderId="0" xfId="0" applyNumberFormat="1" applyAlignment="1" applyProtection="1">
      <alignment horizontal="right"/>
      <protection locked="0"/>
    </xf>
    <xf numFmtId="0" fontId="3" fillId="3" borderId="27" xfId="0" applyFont="1" applyFill="1" applyBorder="1" applyAlignment="1"/>
    <xf numFmtId="0" fontId="3" fillId="5" borderId="27" xfId="0" applyFont="1" applyFill="1" applyBorder="1" applyAlignment="1"/>
    <xf numFmtId="0" fontId="3" fillId="6" borderId="27" xfId="0" applyFont="1" applyFill="1" applyBorder="1" applyAlignment="1"/>
    <xf numFmtId="0" fontId="0" fillId="0" borderId="2" xfId="0" applyFont="1" applyBorder="1" applyAlignment="1" applyProtection="1">
      <alignment vertical="top"/>
    </xf>
    <xf numFmtId="0" fontId="0" fillId="0" borderId="2" xfId="0" applyNumberFormat="1" applyFont="1" applyBorder="1" applyAlignment="1" applyProtection="1">
      <alignment vertical="top"/>
    </xf>
    <xf numFmtId="0" fontId="0" fillId="0" borderId="5" xfId="0" applyFont="1" applyBorder="1" applyAlignment="1" applyProtection="1">
      <alignment vertical="top"/>
    </xf>
    <xf numFmtId="0" fontId="0" fillId="0" borderId="5" xfId="0" applyNumberFormat="1" applyFont="1" applyBorder="1" applyAlignment="1" applyProtection="1">
      <alignment vertical="top"/>
    </xf>
    <xf numFmtId="0" fontId="0" fillId="0" borderId="49" xfId="0" applyFont="1" applyBorder="1" applyAlignment="1" applyProtection="1">
      <alignment vertical="top"/>
    </xf>
    <xf numFmtId="0" fontId="0" fillId="0" borderId="12" xfId="0" applyFont="1" applyBorder="1" applyAlignment="1" applyProtection="1">
      <alignment vertical="top"/>
    </xf>
    <xf numFmtId="0" fontId="0" fillId="0" borderId="10" xfId="0" applyFont="1" applyBorder="1" applyAlignment="1" applyProtection="1">
      <alignment vertical="top"/>
    </xf>
    <xf numFmtId="0" fontId="0" fillId="0" borderId="8" xfId="0" applyFont="1" applyBorder="1" applyAlignment="1" applyProtection="1">
      <alignment vertical="top"/>
    </xf>
    <xf numFmtId="0" fontId="0" fillId="0" borderId="8" xfId="0" applyNumberFormat="1" applyFont="1" applyBorder="1" applyAlignment="1" applyProtection="1">
      <alignment vertical="top"/>
    </xf>
    <xf numFmtId="0" fontId="9" fillId="0" borderId="0" xfId="0" applyFont="1" applyAlignment="1" applyProtection="1">
      <alignment vertical="center"/>
      <protection hidden="1"/>
    </xf>
    <xf numFmtId="0" fontId="0" fillId="0" borderId="0" xfId="0" applyProtection="1">
      <protection hidden="1"/>
    </xf>
    <xf numFmtId="0" fontId="7" fillId="0" borderId="0" xfId="0" applyFont="1" applyAlignment="1" applyProtection="1">
      <alignment vertical="center" wrapText="1"/>
      <protection hidden="1"/>
    </xf>
    <xf numFmtId="41" fontId="7" fillId="0" borderId="0" xfId="0" applyNumberFormat="1" applyFont="1" applyBorder="1" applyAlignment="1" applyProtection="1">
      <alignment vertical="center"/>
      <protection hidden="1"/>
    </xf>
    <xf numFmtId="41" fontId="3" fillId="0" borderId="0" xfId="0" applyNumberFormat="1" applyFont="1" applyBorder="1" applyAlignment="1" applyProtection="1">
      <alignment vertical="center"/>
      <protection hidden="1"/>
    </xf>
    <xf numFmtId="0" fontId="11" fillId="0" borderId="0" xfId="2" applyFont="1" applyAlignment="1" applyProtection="1">
      <protection hidden="1"/>
    </xf>
    <xf numFmtId="167" fontId="11" fillId="0" borderId="1" xfId="2" applyNumberFormat="1" applyFont="1" applyBorder="1" applyAlignment="1" applyProtection="1">
      <alignment horizontal="right" vertical="center"/>
      <protection hidden="1"/>
    </xf>
    <xf numFmtId="0" fontId="11" fillId="0" borderId="2" xfId="2" applyFont="1" applyBorder="1" applyAlignment="1" applyProtection="1">
      <alignment horizontal="center" vertical="center"/>
      <protection hidden="1"/>
    </xf>
    <xf numFmtId="167" fontId="11" fillId="0" borderId="4" xfId="2" applyNumberFormat="1" applyFont="1" applyBorder="1" applyAlignment="1" applyProtection="1">
      <alignment horizontal="right" vertical="center"/>
      <protection hidden="1"/>
    </xf>
    <xf numFmtId="0" fontId="11" fillId="0" borderId="5" xfId="2" applyFont="1" applyBorder="1" applyAlignment="1" applyProtection="1">
      <alignment horizontal="center" vertical="center"/>
      <protection hidden="1"/>
    </xf>
    <xf numFmtId="167" fontId="11" fillId="0" borderId="7" xfId="2" applyNumberFormat="1" applyFont="1" applyBorder="1" applyAlignment="1" applyProtection="1">
      <alignment horizontal="right" vertical="center"/>
      <protection hidden="1"/>
    </xf>
    <xf numFmtId="0" fontId="11" fillId="0" borderId="8" xfId="2" applyFont="1" applyBorder="1" applyAlignment="1" applyProtection="1">
      <alignment horizontal="center" vertical="center"/>
      <protection hidden="1"/>
    </xf>
    <xf numFmtId="172" fontId="11" fillId="0" borderId="2" xfId="2" applyNumberFormat="1" applyFont="1" applyBorder="1" applyAlignment="1" applyProtection="1">
      <alignment vertical="center"/>
      <protection hidden="1"/>
    </xf>
    <xf numFmtId="0" fontId="11" fillId="0" borderId="3" xfId="2" applyFont="1" applyBorder="1" applyAlignment="1" applyProtection="1">
      <alignment horizontal="center" vertical="center"/>
      <protection hidden="1"/>
    </xf>
    <xf numFmtId="172" fontId="11" fillId="0" borderId="5" xfId="2" applyNumberFormat="1" applyFont="1" applyBorder="1" applyAlignment="1" applyProtection="1">
      <alignment vertical="center"/>
      <protection hidden="1"/>
    </xf>
    <xf numFmtId="0" fontId="11" fillId="0" borderId="6" xfId="2" applyFont="1" applyBorder="1" applyAlignment="1" applyProtection="1">
      <alignment horizontal="center" vertical="center"/>
      <protection hidden="1"/>
    </xf>
    <xf numFmtId="172" fontId="11" fillId="0" borderId="8" xfId="2" applyNumberFormat="1" applyFont="1" applyBorder="1" applyAlignment="1" applyProtection="1">
      <alignment vertical="center"/>
      <protection hidden="1"/>
    </xf>
    <xf numFmtId="0" fontId="11" fillId="0" borderId="9" xfId="2" applyFont="1" applyBorder="1" applyAlignment="1" applyProtection="1">
      <alignment horizontal="center" vertical="center"/>
      <protection hidden="1"/>
    </xf>
    <xf numFmtId="0" fontId="11" fillId="0" borderId="0" xfId="2" applyFont="1" applyAlignment="1" applyProtection="1">
      <alignment vertical="center"/>
      <protection hidden="1"/>
    </xf>
    <xf numFmtId="168" fontId="0" fillId="0" borderId="0" xfId="0" applyNumberFormat="1" applyProtection="1">
      <protection hidden="1"/>
    </xf>
    <xf numFmtId="173" fontId="0" fillId="0" borderId="0" xfId="0" applyNumberFormat="1" applyProtection="1">
      <protection hidden="1"/>
    </xf>
    <xf numFmtId="0" fontId="0" fillId="0" borderId="0" xfId="0" applyAlignment="1" applyProtection="1">
      <alignment vertical="center"/>
      <protection hidden="1"/>
    </xf>
    <xf numFmtId="0" fontId="25" fillId="0" borderId="0" xfId="0" applyFont="1" applyBorder="1" applyAlignment="1" applyProtection="1">
      <alignment horizontal="left"/>
      <protection hidden="1"/>
    </xf>
    <xf numFmtId="0" fontId="0" fillId="0" borderId="0" xfId="0" applyFont="1" applyBorder="1" applyAlignment="1" applyProtection="1">
      <protection hidden="1"/>
    </xf>
    <xf numFmtId="0" fontId="2" fillId="2" borderId="13" xfId="0" applyFont="1" applyFill="1" applyBorder="1" applyProtection="1">
      <protection hidden="1"/>
    </xf>
    <xf numFmtId="0" fontId="2" fillId="2" borderId="10" xfId="0" applyFont="1" applyFill="1" applyBorder="1" applyProtection="1">
      <protection hidden="1"/>
    </xf>
    <xf numFmtId="0" fontId="2" fillId="2" borderId="52" xfId="0" applyFont="1" applyFill="1" applyBorder="1" applyProtection="1">
      <protection hidden="1"/>
    </xf>
    <xf numFmtId="0" fontId="2" fillId="0" borderId="0" xfId="0" applyFont="1" applyProtection="1">
      <protection hidden="1"/>
    </xf>
    <xf numFmtId="0" fontId="0" fillId="0" borderId="51" xfId="0" applyBorder="1" applyProtection="1">
      <protection hidden="1"/>
    </xf>
    <xf numFmtId="0" fontId="0" fillId="0" borderId="49" xfId="0" applyBorder="1" applyProtection="1">
      <protection hidden="1"/>
    </xf>
    <xf numFmtId="0" fontId="0" fillId="0" borderId="53" xfId="0" applyBorder="1" applyProtection="1">
      <protection hidden="1"/>
    </xf>
    <xf numFmtId="0" fontId="0" fillId="0" borderId="71" xfId="0" applyBorder="1" applyProtection="1">
      <protection hidden="1"/>
    </xf>
    <xf numFmtId="49" fontId="0" fillId="0" borderId="55" xfId="0" applyNumberFormat="1" applyBorder="1" applyAlignment="1" applyProtection="1"/>
    <xf numFmtId="49" fontId="0" fillId="0" borderId="0" xfId="0" applyNumberFormat="1" applyBorder="1" applyAlignment="1" applyProtection="1"/>
    <xf numFmtId="0" fontId="0" fillId="0" borderId="0" xfId="0" applyAlignment="1" applyProtection="1">
      <alignment vertical="top"/>
      <protection hidden="1"/>
    </xf>
    <xf numFmtId="0" fontId="0" fillId="0" borderId="0" xfId="0" applyBorder="1"/>
    <xf numFmtId="0" fontId="0" fillId="0" borderId="5" xfId="0" applyBorder="1" applyAlignment="1" applyProtection="1">
      <alignment horizontal="left"/>
    </xf>
    <xf numFmtId="164" fontId="0" fillId="0" borderId="5" xfId="0" applyNumberFormat="1" applyBorder="1" applyProtection="1"/>
    <xf numFmtId="164" fontId="2" fillId="0" borderId="5" xfId="0" applyNumberFormat="1" applyFont="1" applyBorder="1" applyProtection="1"/>
    <xf numFmtId="164" fontId="0" fillId="0" borderId="60" xfId="0" applyNumberFormat="1" applyBorder="1" applyProtection="1"/>
    <xf numFmtId="164" fontId="2" fillId="0" borderId="60" xfId="0" applyNumberFormat="1" applyFont="1" applyBorder="1" applyProtection="1"/>
    <xf numFmtId="164" fontId="2" fillId="0" borderId="5" xfId="0" applyNumberFormat="1" applyFont="1" applyBorder="1" applyAlignment="1" applyProtection="1">
      <alignment horizontal="center"/>
    </xf>
    <xf numFmtId="164" fontId="0" fillId="0" borderId="49" xfId="0" applyNumberFormat="1" applyBorder="1" applyProtection="1"/>
    <xf numFmtId="164" fontId="2" fillId="0" borderId="49" xfId="0" applyNumberFormat="1" applyFont="1" applyBorder="1" applyProtection="1"/>
    <xf numFmtId="164" fontId="2" fillId="0" borderId="49" xfId="0" applyNumberFormat="1" applyFont="1" applyBorder="1" applyAlignment="1" applyProtection="1">
      <alignment horizontal="center"/>
    </xf>
    <xf numFmtId="164" fontId="0" fillId="0" borderId="63" xfId="0" applyNumberFormat="1" applyBorder="1" applyProtection="1"/>
    <xf numFmtId="164" fontId="2" fillId="0" borderId="63" xfId="0" applyNumberFormat="1" applyFont="1" applyBorder="1" applyProtection="1"/>
    <xf numFmtId="164" fontId="2" fillId="0" borderId="63" xfId="0" applyNumberFormat="1" applyFont="1" applyBorder="1" applyAlignment="1" applyProtection="1">
      <alignment horizontal="center"/>
    </xf>
    <xf numFmtId="164" fontId="0" fillId="0" borderId="64" xfId="0" applyNumberFormat="1" applyBorder="1" applyProtection="1"/>
    <xf numFmtId="164" fontId="2" fillId="0" borderId="64" xfId="0" applyNumberFormat="1" applyFont="1" applyBorder="1" applyProtection="1"/>
    <xf numFmtId="164" fontId="2" fillId="0" borderId="64" xfId="0" applyNumberFormat="1" applyFont="1" applyBorder="1" applyAlignment="1" applyProtection="1">
      <alignment horizontal="center"/>
    </xf>
    <xf numFmtId="164" fontId="2" fillId="0" borderId="10" xfId="0" applyNumberFormat="1" applyFont="1" applyBorder="1" applyProtection="1"/>
    <xf numFmtId="164" fontId="2" fillId="0" borderId="10" xfId="0" applyNumberFormat="1" applyFont="1" applyBorder="1" applyAlignment="1" applyProtection="1">
      <alignment horizontal="center"/>
    </xf>
    <xf numFmtId="0" fontId="0" fillId="0" borderId="0" xfId="0" applyBorder="1" applyAlignment="1" applyProtection="1">
      <alignment horizontal="left"/>
    </xf>
    <xf numFmtId="164" fontId="0" fillId="0" borderId="0" xfId="0" applyNumberFormat="1" applyBorder="1" applyProtection="1"/>
    <xf numFmtId="164" fontId="2" fillId="0" borderId="0" xfId="0" applyNumberFormat="1" applyFont="1" applyBorder="1" applyProtection="1"/>
    <xf numFmtId="175" fontId="0" fillId="0" borderId="9" xfId="0" applyNumberFormat="1" applyBorder="1" applyProtection="1"/>
    <xf numFmtId="175" fontId="0" fillId="0" borderId="5" xfId="0" applyNumberFormat="1" applyBorder="1" applyProtection="1"/>
    <xf numFmtId="177" fontId="36" fillId="17" borderId="5" xfId="0" applyNumberFormat="1" applyFont="1" applyFill="1" applyBorder="1" applyAlignment="1" applyProtection="1">
      <alignment horizontal="center"/>
    </xf>
    <xf numFmtId="164" fontId="36" fillId="17" borderId="5" xfId="0" applyNumberFormat="1" applyFont="1" applyFill="1" applyBorder="1" applyAlignment="1" applyProtection="1">
      <alignment horizontal="center"/>
    </xf>
    <xf numFmtId="175" fontId="2" fillId="0" borderId="5" xfId="0" applyNumberFormat="1" applyFont="1" applyBorder="1" applyProtection="1"/>
    <xf numFmtId="164" fontId="2" fillId="0" borderId="5" xfId="0" applyNumberFormat="1" applyFont="1" applyBorder="1" applyAlignment="1" applyProtection="1">
      <alignment horizontal="right"/>
    </xf>
    <xf numFmtId="0" fontId="3" fillId="2" borderId="74" xfId="0" applyFont="1" applyFill="1" applyBorder="1" applyAlignment="1" applyProtection="1">
      <alignment horizontal="center" vertical="center" wrapText="1"/>
    </xf>
    <xf numFmtId="0" fontId="7" fillId="2" borderId="50" xfId="0" applyFont="1" applyFill="1" applyBorder="1" applyAlignment="1" applyProtection="1">
      <alignment horizontal="center" vertical="center"/>
    </xf>
    <xf numFmtId="175" fontId="2" fillId="0" borderId="15" xfId="0" applyNumberFormat="1" applyFont="1" applyBorder="1" applyProtection="1"/>
    <xf numFmtId="175" fontId="2" fillId="0" borderId="47" xfId="0" applyNumberFormat="1" applyFont="1" applyBorder="1" applyProtection="1"/>
    <xf numFmtId="175" fontId="2" fillId="0" borderId="48" xfId="0" applyNumberFormat="1" applyFont="1" applyBorder="1" applyProtection="1"/>
    <xf numFmtId="0" fontId="0" fillId="0" borderId="1" xfId="0" applyBorder="1" applyProtection="1"/>
    <xf numFmtId="175" fontId="0" fillId="0" borderId="3" xfId="0" applyNumberFormat="1" applyBorder="1" applyProtection="1"/>
    <xf numFmtId="0" fontId="0" fillId="0" borderId="4" xfId="0" applyBorder="1" applyProtection="1"/>
    <xf numFmtId="9" fontId="0" fillId="0" borderId="5" xfId="0" applyNumberFormat="1" applyFill="1" applyBorder="1" applyProtection="1"/>
    <xf numFmtId="175" fontId="0" fillId="8" borderId="22" xfId="0" applyNumberFormat="1" applyFill="1" applyBorder="1" applyProtection="1">
      <protection locked="0"/>
    </xf>
    <xf numFmtId="175" fontId="0" fillId="8" borderId="32" xfId="0" applyNumberFormat="1" applyFill="1" applyBorder="1" applyProtection="1">
      <protection locked="0"/>
    </xf>
    <xf numFmtId="41" fontId="0" fillId="0" borderId="39" xfId="0" applyNumberFormat="1" applyBorder="1" applyProtection="1"/>
    <xf numFmtId="175" fontId="0" fillId="0" borderId="39" xfId="0" applyNumberFormat="1" applyBorder="1" applyProtection="1"/>
    <xf numFmtId="175" fontId="0" fillId="0" borderId="26" xfId="0" applyNumberFormat="1" applyBorder="1" applyProtection="1"/>
    <xf numFmtId="175" fontId="0" fillId="8" borderId="26" xfId="0" applyNumberFormat="1" applyFill="1" applyBorder="1" applyProtection="1">
      <protection locked="0"/>
    </xf>
    <xf numFmtId="41" fontId="0" fillId="0" borderId="19" xfId="0" applyNumberFormat="1" applyBorder="1" applyProtection="1"/>
    <xf numFmtId="175" fontId="0" fillId="0" borderId="19" xfId="0" applyNumberFormat="1" applyFill="1" applyBorder="1" applyProtection="1"/>
    <xf numFmtId="175" fontId="0" fillId="0" borderId="24" xfId="0" applyNumberFormat="1" applyBorder="1" applyProtection="1"/>
    <xf numFmtId="175" fontId="0" fillId="0" borderId="12" xfId="0" applyNumberFormat="1" applyBorder="1" applyProtection="1"/>
    <xf numFmtId="175" fontId="0" fillId="0" borderId="34" xfId="0" applyNumberFormat="1" applyBorder="1" applyProtection="1"/>
    <xf numFmtId="175" fontId="0" fillId="8" borderId="1" xfId="0" applyNumberFormat="1" applyFill="1" applyBorder="1" applyProtection="1">
      <protection locked="0"/>
    </xf>
    <xf numFmtId="175" fontId="0" fillId="8" borderId="7" xfId="0" applyNumberFormat="1" applyFill="1" applyBorder="1" applyProtection="1">
      <protection locked="0"/>
    </xf>
    <xf numFmtId="0" fontId="3" fillId="0" borderId="0" xfId="0" applyFont="1" applyAlignment="1">
      <alignment horizontal="center"/>
    </xf>
    <xf numFmtId="0" fontId="43" fillId="0" borderId="0" xfId="0" applyFont="1" applyAlignment="1"/>
    <xf numFmtId="0" fontId="42" fillId="2" borderId="75" xfId="0" applyFont="1" applyFill="1" applyBorder="1" applyAlignment="1">
      <alignment horizontal="right"/>
    </xf>
    <xf numFmtId="0" fontId="42" fillId="2" borderId="80" xfId="0" applyFont="1" applyFill="1" applyBorder="1" applyAlignment="1">
      <alignment horizontal="right"/>
    </xf>
    <xf numFmtId="0" fontId="0" fillId="0" borderId="89" xfId="0" applyBorder="1" applyAlignment="1" applyProtection="1">
      <alignment horizontal="left"/>
      <protection locked="0"/>
    </xf>
    <xf numFmtId="0" fontId="7" fillId="0" borderId="0" xfId="0" applyFont="1" applyBorder="1" applyAlignment="1"/>
    <xf numFmtId="0" fontId="43" fillId="0" borderId="0" xfId="0" applyFont="1" applyBorder="1" applyAlignment="1"/>
    <xf numFmtId="0" fontId="3" fillId="2" borderId="78" xfId="0" applyFont="1" applyFill="1" applyBorder="1" applyAlignment="1">
      <alignment horizontal="center"/>
    </xf>
    <xf numFmtId="0" fontId="3" fillId="2" borderId="79" xfId="0" applyFont="1" applyFill="1" applyBorder="1" applyAlignment="1">
      <alignment horizontal="center"/>
    </xf>
    <xf numFmtId="0" fontId="3" fillId="2" borderId="99" xfId="0" applyFont="1" applyFill="1" applyBorder="1" applyAlignment="1">
      <alignment horizontal="center"/>
    </xf>
    <xf numFmtId="0" fontId="20" fillId="2" borderId="78" xfId="0" applyFont="1" applyFill="1" applyBorder="1" applyAlignment="1">
      <alignment horizontal="center"/>
    </xf>
    <xf numFmtId="0" fontId="20" fillId="2" borderId="79" xfId="0" applyFont="1" applyFill="1" applyBorder="1" applyAlignment="1">
      <alignment horizontal="center"/>
    </xf>
    <xf numFmtId="0" fontId="20" fillId="2" borderId="99" xfId="0" applyFont="1" applyFill="1" applyBorder="1" applyAlignment="1">
      <alignment horizontal="center"/>
    </xf>
    <xf numFmtId="5" fontId="0" fillId="0" borderId="80" xfId="0" applyNumberFormat="1" applyBorder="1" applyAlignment="1">
      <alignment horizontal="center"/>
    </xf>
    <xf numFmtId="5" fontId="0" fillId="0" borderId="81" xfId="0" applyNumberFormat="1" applyBorder="1" applyAlignment="1">
      <alignment horizontal="center"/>
    </xf>
    <xf numFmtId="5" fontId="0" fillId="0" borderId="86" xfId="0" applyNumberFormat="1" applyBorder="1" applyAlignment="1">
      <alignment horizontal="center"/>
    </xf>
    <xf numFmtId="0" fontId="42" fillId="2" borderId="103" xfId="0" applyFont="1" applyFill="1" applyBorder="1" applyAlignment="1" applyProtection="1">
      <alignment vertical="center"/>
      <protection hidden="1"/>
    </xf>
    <xf numFmtId="174" fontId="0" fillId="0" borderId="104" xfId="0" applyNumberFormat="1" applyBorder="1" applyAlignment="1" applyProtection="1">
      <alignment vertical="center"/>
      <protection hidden="1"/>
    </xf>
    <xf numFmtId="0" fontId="42" fillId="2" borderId="87" xfId="0" applyFont="1" applyFill="1" applyBorder="1" applyProtection="1">
      <protection hidden="1"/>
    </xf>
    <xf numFmtId="165" fontId="42" fillId="2" borderId="88" xfId="0" applyNumberFormat="1" applyFont="1" applyFill="1" applyBorder="1" applyAlignment="1" applyProtection="1">
      <alignment horizontal="center" wrapText="1"/>
      <protection hidden="1"/>
    </xf>
    <xf numFmtId="0" fontId="42" fillId="2" borderId="106" xfId="0" applyFont="1" applyFill="1" applyBorder="1" applyAlignment="1" applyProtection="1">
      <alignment vertical="center"/>
      <protection hidden="1"/>
    </xf>
    <xf numFmtId="174" fontId="0" fillId="0" borderId="107" xfId="0" applyNumberFormat="1" applyBorder="1" applyAlignment="1" applyProtection="1">
      <alignment vertical="center"/>
      <protection hidden="1"/>
    </xf>
    <xf numFmtId="0" fontId="42" fillId="2" borderId="87" xfId="0" applyFont="1" applyFill="1" applyBorder="1" applyAlignment="1" applyProtection="1">
      <alignment vertical="center"/>
      <protection hidden="1"/>
    </xf>
    <xf numFmtId="174" fontId="2" fillId="0" borderId="88" xfId="0" applyNumberFormat="1" applyFont="1" applyBorder="1" applyAlignment="1" applyProtection="1">
      <alignment vertical="center"/>
      <protection hidden="1"/>
    </xf>
    <xf numFmtId="41" fontId="2" fillId="0" borderId="88" xfId="0" applyNumberFormat="1" applyFont="1" applyBorder="1" applyAlignment="1" applyProtection="1">
      <alignment vertical="center"/>
      <protection hidden="1"/>
    </xf>
    <xf numFmtId="165" fontId="42" fillId="2" borderId="109" xfId="0" applyNumberFormat="1" applyFont="1" applyFill="1" applyBorder="1" applyAlignment="1" applyProtection="1">
      <alignment horizontal="center" wrapText="1"/>
      <protection hidden="1"/>
    </xf>
    <xf numFmtId="174" fontId="0" fillId="0" borderId="110" xfId="0" applyNumberFormat="1" applyBorder="1" applyAlignment="1" applyProtection="1">
      <alignment vertical="center"/>
      <protection hidden="1"/>
    </xf>
    <xf numFmtId="174" fontId="0" fillId="0" borderId="111" xfId="0" applyNumberFormat="1" applyBorder="1" applyAlignment="1" applyProtection="1">
      <alignment vertical="center"/>
      <protection hidden="1"/>
    </xf>
    <xf numFmtId="174" fontId="2" fillId="0" borderId="109" xfId="0" applyNumberFormat="1" applyFont="1" applyBorder="1" applyAlignment="1" applyProtection="1">
      <alignment vertical="center"/>
      <protection hidden="1"/>
    </xf>
    <xf numFmtId="41" fontId="2" fillId="0" borderId="109" xfId="0" applyNumberFormat="1" applyFont="1" applyBorder="1" applyAlignment="1" applyProtection="1">
      <alignment vertical="center"/>
      <protection hidden="1"/>
    </xf>
    <xf numFmtId="0" fontId="42" fillId="2" borderId="82" xfId="0" applyFont="1" applyFill="1" applyBorder="1" applyAlignment="1" applyProtection="1">
      <alignment horizontal="right"/>
      <protection hidden="1"/>
    </xf>
    <xf numFmtId="41" fontId="0" fillId="0" borderId="112" xfId="0" applyNumberFormat="1" applyBorder="1" applyAlignment="1" applyProtection="1">
      <alignment vertical="center"/>
      <protection hidden="1"/>
    </xf>
    <xf numFmtId="41" fontId="0" fillId="0" borderId="113" xfId="0" applyNumberFormat="1" applyBorder="1" applyAlignment="1" applyProtection="1">
      <alignment vertical="center"/>
      <protection hidden="1"/>
    </xf>
    <xf numFmtId="41" fontId="2" fillId="0" borderId="82" xfId="0" applyNumberFormat="1" applyFont="1" applyBorder="1" applyAlignment="1" applyProtection="1">
      <alignment vertical="center"/>
      <protection hidden="1"/>
    </xf>
    <xf numFmtId="165" fontId="42" fillId="2" borderId="114" xfId="0" applyNumberFormat="1" applyFont="1" applyFill="1" applyBorder="1" applyAlignment="1" applyProtection="1">
      <alignment horizontal="center" wrapText="1"/>
      <protection hidden="1"/>
    </xf>
    <xf numFmtId="174" fontId="0" fillId="0" borderId="115" xfId="0" applyNumberFormat="1" applyBorder="1" applyAlignment="1" applyProtection="1">
      <alignment vertical="center"/>
      <protection hidden="1"/>
    </xf>
    <xf numFmtId="174" fontId="0" fillId="0" borderId="116" xfId="0" applyNumberFormat="1" applyBorder="1" applyAlignment="1" applyProtection="1">
      <alignment vertical="center"/>
      <protection hidden="1"/>
    </xf>
    <xf numFmtId="174" fontId="2" fillId="0" borderId="114" xfId="0" applyNumberFormat="1" applyFont="1" applyBorder="1" applyAlignment="1" applyProtection="1">
      <alignment vertical="center"/>
      <protection hidden="1"/>
    </xf>
    <xf numFmtId="41" fontId="2" fillId="0" borderId="114" xfId="0" applyNumberFormat="1" applyFont="1" applyBorder="1" applyAlignment="1" applyProtection="1">
      <alignment vertical="center"/>
      <protection hidden="1"/>
    </xf>
    <xf numFmtId="0" fontId="42" fillId="2" borderId="89" xfId="0" applyFont="1" applyFill="1" applyBorder="1" applyProtection="1">
      <protection hidden="1"/>
    </xf>
    <xf numFmtId="0" fontId="42" fillId="2" borderId="105" xfId="0" applyFont="1" applyFill="1" applyBorder="1" applyAlignment="1" applyProtection="1">
      <alignment vertical="center"/>
      <protection hidden="1"/>
    </xf>
    <xf numFmtId="0" fontId="42" fillId="2" borderId="108" xfId="0" applyFont="1" applyFill="1" applyBorder="1" applyAlignment="1" applyProtection="1">
      <alignment vertical="center"/>
      <protection hidden="1"/>
    </xf>
    <xf numFmtId="0" fontId="42" fillId="2" borderId="89" xfId="0" applyFont="1" applyFill="1" applyBorder="1" applyAlignment="1" applyProtection="1">
      <alignment vertical="center"/>
      <protection hidden="1"/>
    </xf>
    <xf numFmtId="0" fontId="11" fillId="0" borderId="79" xfId="2" applyFont="1" applyBorder="1" applyAlignment="1" applyProtection="1">
      <alignment vertical="center"/>
      <protection hidden="1"/>
    </xf>
    <xf numFmtId="0" fontId="49" fillId="2" borderId="79" xfId="2" applyFont="1" applyFill="1" applyBorder="1" applyAlignment="1" applyProtection="1">
      <alignment horizontal="right" vertical="center"/>
      <protection hidden="1"/>
    </xf>
    <xf numFmtId="0" fontId="11" fillId="0" borderId="81" xfId="2" applyFont="1" applyBorder="1" applyAlignment="1" applyProtection="1">
      <alignment vertical="center"/>
      <protection hidden="1"/>
    </xf>
    <xf numFmtId="0" fontId="49" fillId="2" borderId="81" xfId="2" applyFont="1" applyFill="1" applyBorder="1" applyAlignment="1" applyProtection="1">
      <alignment horizontal="right" vertical="center"/>
      <protection hidden="1"/>
    </xf>
    <xf numFmtId="167" fontId="11" fillId="0" borderId="78" xfId="2" applyNumberFormat="1" applyFont="1" applyBorder="1" applyAlignment="1" applyProtection="1">
      <alignment horizontal="right" vertical="center"/>
      <protection hidden="1"/>
    </xf>
    <xf numFmtId="0" fontId="11" fillId="0" borderId="79" xfId="2" applyFont="1" applyBorder="1" applyAlignment="1" applyProtection="1">
      <alignment horizontal="center" vertical="center"/>
      <protection hidden="1"/>
    </xf>
    <xf numFmtId="167" fontId="11" fillId="0" borderId="80" xfId="2" applyNumberFormat="1" applyFont="1" applyBorder="1" applyAlignment="1" applyProtection="1">
      <alignment horizontal="right" vertical="center"/>
      <protection hidden="1"/>
    </xf>
    <xf numFmtId="0" fontId="11" fillId="0" borderId="81" xfId="2" applyFont="1" applyBorder="1" applyAlignment="1" applyProtection="1">
      <alignment horizontal="center" vertical="center"/>
      <protection hidden="1"/>
    </xf>
    <xf numFmtId="0" fontId="50" fillId="2" borderId="30" xfId="2" applyFont="1" applyFill="1" applyBorder="1" applyAlignment="1" applyProtection="1">
      <protection hidden="1"/>
    </xf>
    <xf numFmtId="0" fontId="49" fillId="2" borderId="35" xfId="2" applyFont="1" applyFill="1" applyBorder="1" applyAlignment="1" applyProtection="1">
      <alignment horizontal="left" vertical="center" wrapText="1"/>
      <protection hidden="1"/>
    </xf>
    <xf numFmtId="0" fontId="49" fillId="2" borderId="36" xfId="2" applyFont="1" applyFill="1" applyBorder="1" applyAlignment="1" applyProtection="1">
      <alignment horizontal="center" vertical="center" wrapText="1"/>
      <protection hidden="1"/>
    </xf>
    <xf numFmtId="172" fontId="11" fillId="0" borderId="79" xfId="2" applyNumberFormat="1" applyFont="1" applyBorder="1" applyAlignment="1" applyProtection="1">
      <alignment vertical="center"/>
      <protection hidden="1"/>
    </xf>
    <xf numFmtId="0" fontId="11" fillId="0" borderId="99" xfId="2" applyFont="1" applyBorder="1" applyAlignment="1" applyProtection="1">
      <alignment horizontal="center" vertical="center"/>
      <protection hidden="1"/>
    </xf>
    <xf numFmtId="172" fontId="11" fillId="0" borderId="81" xfId="2" applyNumberFormat="1" applyFont="1" applyBorder="1" applyAlignment="1" applyProtection="1">
      <alignment vertical="center"/>
      <protection hidden="1"/>
    </xf>
    <xf numFmtId="0" fontId="11" fillId="0" borderId="86" xfId="2" applyFont="1" applyBorder="1" applyAlignment="1" applyProtection="1">
      <alignment horizontal="center" vertical="center"/>
      <protection hidden="1"/>
    </xf>
    <xf numFmtId="167" fontId="11" fillId="0" borderId="103" xfId="2" applyNumberFormat="1" applyFont="1" applyBorder="1" applyAlignment="1" applyProtection="1">
      <alignment horizontal="right" vertical="center"/>
      <protection hidden="1"/>
    </xf>
    <xf numFmtId="0" fontId="11" fillId="0" borderId="104" xfId="2" applyFont="1" applyBorder="1" applyAlignment="1" applyProtection="1">
      <alignment horizontal="center" vertical="center"/>
      <protection hidden="1"/>
    </xf>
    <xf numFmtId="172" fontId="11" fillId="0" borderId="104" xfId="2" applyNumberFormat="1" applyFont="1" applyBorder="1" applyAlignment="1" applyProtection="1">
      <alignment vertical="center"/>
      <protection hidden="1"/>
    </xf>
    <xf numFmtId="0" fontId="11" fillId="0" borderId="105" xfId="2" applyFont="1" applyBorder="1" applyAlignment="1" applyProtection="1">
      <alignment horizontal="center" vertical="center"/>
      <protection hidden="1"/>
    </xf>
    <xf numFmtId="0" fontId="50" fillId="2" borderId="87" xfId="2" applyFont="1" applyFill="1" applyBorder="1" applyAlignment="1" applyProtection="1">
      <protection hidden="1"/>
    </xf>
    <xf numFmtId="0" fontId="49" fillId="2" borderId="88" xfId="2" applyFont="1" applyFill="1" applyBorder="1" applyAlignment="1" applyProtection="1">
      <alignment horizontal="left" vertical="center" wrapText="1"/>
      <protection hidden="1"/>
    </xf>
    <xf numFmtId="0" fontId="49" fillId="2" borderId="89" xfId="2" applyFont="1" applyFill="1" applyBorder="1" applyAlignment="1" applyProtection="1">
      <alignment horizontal="center" vertical="center" wrapText="1"/>
      <protection hidden="1"/>
    </xf>
    <xf numFmtId="0" fontId="49" fillId="2" borderId="87" xfId="2" applyFont="1" applyFill="1" applyBorder="1" applyAlignment="1" applyProtection="1">
      <protection hidden="1"/>
    </xf>
    <xf numFmtId="0" fontId="49" fillId="2" borderId="88" xfId="2" applyFont="1" applyFill="1" applyBorder="1" applyAlignment="1" applyProtection="1">
      <alignment vertical="center"/>
      <protection hidden="1"/>
    </xf>
    <xf numFmtId="0" fontId="12" fillId="0" borderId="0" xfId="2" applyFont="1" applyBorder="1" applyAlignment="1" applyProtection="1">
      <protection hidden="1"/>
    </xf>
    <xf numFmtId="167" fontId="0" fillId="0" borderId="78" xfId="0" applyNumberFormat="1" applyBorder="1" applyAlignment="1" applyProtection="1">
      <alignment vertical="center"/>
      <protection hidden="1"/>
    </xf>
    <xf numFmtId="0" fontId="0" fillId="0" borderId="79" xfId="0" applyBorder="1" applyAlignment="1" applyProtection="1">
      <alignment vertical="center"/>
      <protection hidden="1"/>
    </xf>
    <xf numFmtId="168" fontId="0" fillId="0" borderId="79" xfId="0" applyNumberFormat="1" applyBorder="1" applyAlignment="1" applyProtection="1">
      <alignment vertical="center"/>
      <protection hidden="1"/>
    </xf>
    <xf numFmtId="168" fontId="0" fillId="0" borderId="99" xfId="0" applyNumberFormat="1" applyBorder="1" applyAlignment="1" applyProtection="1">
      <alignment vertical="center"/>
      <protection hidden="1"/>
    </xf>
    <xf numFmtId="167" fontId="0" fillId="0" borderId="80" xfId="0" applyNumberFormat="1" applyBorder="1" applyAlignment="1" applyProtection="1">
      <alignment vertical="center"/>
      <protection hidden="1"/>
    </xf>
    <xf numFmtId="0" fontId="0" fillId="0" borderId="81" xfId="0" applyBorder="1" applyAlignment="1" applyProtection="1">
      <alignment vertical="center"/>
      <protection hidden="1"/>
    </xf>
    <xf numFmtId="168" fontId="0" fillId="0" borderId="81" xfId="0" applyNumberFormat="1" applyBorder="1" applyAlignment="1" applyProtection="1">
      <alignment vertical="center"/>
      <protection hidden="1"/>
    </xf>
    <xf numFmtId="168" fontId="0" fillId="0" borderId="86" xfId="0" applyNumberFormat="1" applyBorder="1" applyAlignment="1" applyProtection="1">
      <alignment vertical="center"/>
      <protection hidden="1"/>
    </xf>
    <xf numFmtId="167" fontId="0" fillId="0" borderId="103" xfId="0" applyNumberFormat="1" applyBorder="1" applyAlignment="1" applyProtection="1">
      <alignment vertical="center"/>
      <protection hidden="1"/>
    </xf>
    <xf numFmtId="0" fontId="0" fillId="0" borderId="104" xfId="0" applyBorder="1" applyAlignment="1" applyProtection="1">
      <alignment vertical="center"/>
      <protection hidden="1"/>
    </xf>
    <xf numFmtId="168" fontId="0" fillId="0" borderId="104" xfId="0" applyNumberFormat="1" applyBorder="1" applyAlignment="1" applyProtection="1">
      <alignment vertical="center"/>
      <protection hidden="1"/>
    </xf>
    <xf numFmtId="168" fontId="0" fillId="0" borderId="105" xfId="0" applyNumberFormat="1" applyBorder="1" applyAlignment="1" applyProtection="1">
      <alignment vertical="center"/>
      <protection hidden="1"/>
    </xf>
    <xf numFmtId="0" fontId="43" fillId="2" borderId="87" xfId="0" applyFont="1" applyFill="1" applyBorder="1" applyProtection="1">
      <protection hidden="1"/>
    </xf>
    <xf numFmtId="0" fontId="42" fillId="2" borderId="88" xfId="0" applyFont="1" applyFill="1" applyBorder="1" applyAlignment="1" applyProtection="1">
      <alignment wrapText="1"/>
      <protection hidden="1"/>
    </xf>
    <xf numFmtId="168" fontId="42" fillId="2" borderId="88" xfId="0" applyNumberFormat="1" applyFont="1" applyFill="1" applyBorder="1" applyAlignment="1" applyProtection="1">
      <alignment wrapText="1"/>
      <protection hidden="1"/>
    </xf>
    <xf numFmtId="173" fontId="42" fillId="2" borderId="88" xfId="0" applyNumberFormat="1" applyFont="1" applyFill="1" applyBorder="1" applyAlignment="1" applyProtection="1">
      <alignment wrapText="1"/>
      <protection hidden="1"/>
    </xf>
    <xf numFmtId="168" fontId="42" fillId="2" borderId="89" xfId="0" applyNumberFormat="1" applyFont="1" applyFill="1" applyBorder="1" applyAlignment="1" applyProtection="1">
      <alignment wrapText="1"/>
      <protection hidden="1"/>
    </xf>
    <xf numFmtId="0" fontId="43" fillId="0" borderId="0" xfId="0" applyFont="1" applyProtection="1">
      <protection hidden="1"/>
    </xf>
    <xf numFmtId="0" fontId="0" fillId="0" borderId="117" xfId="0" applyBorder="1" applyAlignment="1" applyProtection="1">
      <alignment vertical="top"/>
      <protection hidden="1"/>
    </xf>
    <xf numFmtId="0" fontId="0" fillId="0" borderId="79" xfId="0" applyBorder="1" applyAlignment="1" applyProtection="1">
      <alignment vertical="top"/>
      <protection hidden="1"/>
    </xf>
    <xf numFmtId="0" fontId="0" fillId="0" borderId="116" xfId="0" applyBorder="1" applyAlignment="1" applyProtection="1">
      <alignment vertical="top"/>
      <protection hidden="1"/>
    </xf>
    <xf numFmtId="0" fontId="0" fillId="0" borderId="107" xfId="0" applyBorder="1" applyAlignment="1" applyProtection="1">
      <alignment vertical="top"/>
      <protection hidden="1"/>
    </xf>
    <xf numFmtId="0" fontId="0" fillId="0" borderId="115" xfId="0" applyBorder="1" applyAlignment="1" applyProtection="1">
      <alignment vertical="top"/>
      <protection hidden="1"/>
    </xf>
    <xf numFmtId="0" fontId="0" fillId="0" borderId="104" xfId="0" applyBorder="1" applyAlignment="1" applyProtection="1">
      <alignment vertical="top"/>
      <protection hidden="1"/>
    </xf>
    <xf numFmtId="0" fontId="0" fillId="0" borderId="104" xfId="0" applyBorder="1" applyAlignment="1" applyProtection="1">
      <alignment horizontal="left" vertical="top"/>
      <protection hidden="1"/>
    </xf>
    <xf numFmtId="0" fontId="42" fillId="2" borderId="88" xfId="0" applyFont="1" applyFill="1" applyBorder="1" applyProtection="1">
      <protection hidden="1"/>
    </xf>
    <xf numFmtId="165" fontId="42" fillId="2" borderId="88" xfId="0" applyNumberFormat="1" applyFont="1" applyFill="1" applyBorder="1" applyAlignment="1" applyProtection="1">
      <alignment horizontal="center"/>
      <protection hidden="1"/>
    </xf>
    <xf numFmtId="0" fontId="41" fillId="0" borderId="0" xfId="0" applyFont="1" applyProtection="1">
      <protection hidden="1"/>
    </xf>
    <xf numFmtId="41" fontId="0" fillId="0" borderId="79" xfId="0" applyNumberFormat="1" applyBorder="1" applyAlignment="1" applyProtection="1">
      <alignment vertical="center"/>
      <protection hidden="1"/>
    </xf>
    <xf numFmtId="41" fontId="0" fillId="0" borderId="104" xfId="0" applyNumberFormat="1" applyBorder="1" applyAlignment="1" applyProtection="1">
      <alignment vertical="center"/>
      <protection hidden="1"/>
    </xf>
    <xf numFmtId="176" fontId="42" fillId="2" borderId="88" xfId="0" applyNumberFormat="1" applyFont="1" applyFill="1" applyBorder="1" applyAlignment="1" applyProtection="1">
      <alignment horizontal="center"/>
      <protection hidden="1"/>
    </xf>
    <xf numFmtId="41" fontId="0" fillId="0" borderId="107" xfId="0" applyNumberFormat="1" applyBorder="1" applyAlignment="1" applyProtection="1">
      <alignment vertical="center"/>
      <protection hidden="1"/>
    </xf>
    <xf numFmtId="176" fontId="42" fillId="2" borderId="114" xfId="0" applyNumberFormat="1" applyFont="1" applyFill="1" applyBorder="1" applyAlignment="1" applyProtection="1">
      <alignment horizontal="center"/>
      <protection hidden="1"/>
    </xf>
    <xf numFmtId="41" fontId="0" fillId="0" borderId="115" xfId="0" applyNumberFormat="1" applyBorder="1" applyAlignment="1" applyProtection="1">
      <alignment vertical="center"/>
      <protection hidden="1"/>
    </xf>
    <xf numFmtId="41" fontId="0" fillId="0" borderId="117" xfId="0" applyNumberFormat="1" applyBorder="1" applyAlignment="1" applyProtection="1">
      <alignment vertical="center"/>
      <protection hidden="1"/>
    </xf>
    <xf numFmtId="41" fontId="0" fillId="0" borderId="116" xfId="0" applyNumberFormat="1" applyBorder="1" applyAlignment="1" applyProtection="1">
      <alignment vertical="center"/>
      <protection hidden="1"/>
    </xf>
    <xf numFmtId="41" fontId="2" fillId="0" borderId="0" xfId="0" applyNumberFormat="1" applyFont="1" applyBorder="1" applyAlignment="1" applyProtection="1">
      <alignment vertical="top"/>
      <protection hidden="1"/>
    </xf>
    <xf numFmtId="41" fontId="0" fillId="0" borderId="76" xfId="0" applyNumberFormat="1" applyFill="1" applyBorder="1" applyAlignment="1" applyProtection="1">
      <alignment vertical="center"/>
      <protection hidden="1"/>
    </xf>
    <xf numFmtId="41" fontId="0" fillId="0" borderId="107" xfId="0" applyNumberFormat="1" applyFill="1" applyBorder="1" applyAlignment="1" applyProtection="1">
      <alignment vertical="center"/>
      <protection hidden="1"/>
    </xf>
    <xf numFmtId="41" fontId="0" fillId="0" borderId="77" xfId="0" applyNumberFormat="1" applyFill="1" applyBorder="1" applyAlignment="1" applyProtection="1">
      <alignment vertical="center"/>
      <protection hidden="1"/>
    </xf>
    <xf numFmtId="41" fontId="0" fillId="0" borderId="111" xfId="0" applyNumberFormat="1" applyFill="1" applyBorder="1" applyAlignment="1" applyProtection="1">
      <alignment vertical="center"/>
      <protection hidden="1"/>
    </xf>
    <xf numFmtId="41" fontId="2" fillId="0" borderId="118" xfId="0" applyNumberFormat="1" applyFont="1" applyFill="1" applyBorder="1" applyAlignment="1" applyProtection="1">
      <alignment vertical="center"/>
      <protection hidden="1"/>
    </xf>
    <xf numFmtId="41" fontId="2" fillId="0" borderId="113" xfId="0" applyNumberFormat="1" applyFont="1" applyFill="1" applyBorder="1" applyAlignment="1" applyProtection="1">
      <alignment vertical="center"/>
      <protection hidden="1"/>
    </xf>
    <xf numFmtId="41" fontId="0" fillId="0" borderId="110" xfId="0" applyNumberFormat="1" applyBorder="1" applyAlignment="1" applyProtection="1">
      <alignment vertical="center"/>
      <protection hidden="1"/>
    </xf>
    <xf numFmtId="41" fontId="0" fillId="0" borderId="83" xfId="0" applyNumberFormat="1" applyBorder="1" applyAlignment="1" applyProtection="1">
      <alignment vertical="center"/>
      <protection hidden="1"/>
    </xf>
    <xf numFmtId="41" fontId="0" fillId="0" borderId="111" xfId="0" applyNumberFormat="1" applyBorder="1" applyAlignment="1" applyProtection="1">
      <alignment vertical="center"/>
      <protection hidden="1"/>
    </xf>
    <xf numFmtId="0" fontId="42" fillId="2" borderId="82" xfId="0" applyFont="1" applyFill="1" applyBorder="1" applyAlignment="1" applyProtection="1">
      <alignment horizontal="center" wrapText="1"/>
      <protection hidden="1"/>
    </xf>
    <xf numFmtId="41" fontId="2" fillId="0" borderId="112" xfId="0" applyNumberFormat="1" applyFont="1" applyBorder="1" applyAlignment="1" applyProtection="1">
      <alignment vertical="center"/>
      <protection hidden="1"/>
    </xf>
    <xf numFmtId="41" fontId="2" fillId="0" borderId="120" xfId="0" applyNumberFormat="1" applyFont="1" applyBorder="1" applyAlignment="1" applyProtection="1">
      <alignment vertical="center"/>
      <protection hidden="1"/>
    </xf>
    <xf numFmtId="41" fontId="2" fillId="0" borderId="113" xfId="0" applyNumberFormat="1" applyFont="1" applyBorder="1" applyAlignment="1" applyProtection="1">
      <alignment vertical="center"/>
      <protection hidden="1"/>
    </xf>
    <xf numFmtId="0" fontId="43" fillId="0" borderId="0" xfId="0" applyFont="1"/>
    <xf numFmtId="0" fontId="46" fillId="0" borderId="0" xfId="0" applyFont="1"/>
    <xf numFmtId="0" fontId="42" fillId="0" borderId="0" xfId="0" applyFont="1"/>
    <xf numFmtId="44" fontId="2" fillId="0" borderId="121" xfId="0" applyNumberFormat="1" applyFont="1" applyBorder="1"/>
    <xf numFmtId="0" fontId="42" fillId="2" borderId="75" xfId="0" applyFont="1" applyFill="1" applyBorder="1" applyAlignment="1">
      <alignment horizontal="center" wrapText="1"/>
    </xf>
    <xf numFmtId="0" fontId="42" fillId="2" borderId="76" xfId="0" applyFont="1" applyFill="1" applyBorder="1" applyAlignment="1">
      <alignment horizontal="center" wrapText="1"/>
    </xf>
    <xf numFmtId="0" fontId="42" fillId="2" borderId="85" xfId="0" applyFont="1" applyFill="1" applyBorder="1" applyAlignment="1">
      <alignment horizontal="center" wrapText="1"/>
    </xf>
    <xf numFmtId="0" fontId="0" fillId="0" borderId="78" xfId="0" applyBorder="1" applyAlignment="1">
      <alignment horizontal="right" vertical="center" indent="1"/>
    </xf>
    <xf numFmtId="44" fontId="0" fillId="0" borderId="79" xfId="0" applyNumberFormat="1" applyBorder="1" applyAlignment="1">
      <alignment vertical="center"/>
    </xf>
    <xf numFmtId="41" fontId="0" fillId="0" borderId="79" xfId="0" applyNumberFormat="1" applyBorder="1" applyAlignment="1">
      <alignment vertical="center"/>
    </xf>
    <xf numFmtId="44" fontId="0" fillId="0" borderId="99" xfId="0" applyNumberFormat="1" applyBorder="1" applyAlignment="1">
      <alignment vertical="center"/>
    </xf>
    <xf numFmtId="44" fontId="0" fillId="0" borderId="79" xfId="0" applyNumberFormat="1" applyBorder="1" applyAlignment="1" applyProtection="1">
      <alignment vertical="center"/>
      <protection locked="0"/>
    </xf>
    <xf numFmtId="41" fontId="0" fillId="0" borderId="79" xfId="0" applyNumberFormat="1" applyBorder="1" applyAlignment="1" applyProtection="1">
      <alignment vertical="center"/>
      <protection locked="0"/>
    </xf>
    <xf numFmtId="0" fontId="0" fillId="0" borderId="80" xfId="0" applyBorder="1" applyAlignment="1">
      <alignment horizontal="right" vertical="center" indent="1"/>
    </xf>
    <xf numFmtId="44" fontId="0" fillId="0" borderId="81" xfId="0" applyNumberFormat="1" applyBorder="1" applyAlignment="1" applyProtection="1">
      <alignment vertical="center"/>
      <protection locked="0"/>
    </xf>
    <xf numFmtId="41" fontId="0" fillId="0" borderId="81" xfId="0" applyNumberFormat="1" applyBorder="1" applyAlignment="1" applyProtection="1">
      <alignment vertical="center"/>
      <protection locked="0"/>
    </xf>
    <xf numFmtId="44" fontId="0" fillId="0" borderId="86" xfId="0" applyNumberFormat="1" applyBorder="1" applyAlignment="1">
      <alignment vertical="center"/>
    </xf>
    <xf numFmtId="0" fontId="0" fillId="0" borderId="103" xfId="0" applyBorder="1" applyAlignment="1">
      <alignment horizontal="right" vertical="center" indent="1"/>
    </xf>
    <xf numFmtId="44" fontId="0" fillId="0" borderId="104" xfId="0" applyNumberFormat="1" applyBorder="1" applyAlignment="1">
      <alignment vertical="center"/>
    </xf>
    <xf numFmtId="41" fontId="0" fillId="0" borderId="104" xfId="0" applyNumberFormat="1" applyBorder="1" applyAlignment="1">
      <alignment vertical="center"/>
    </xf>
    <xf numFmtId="44" fontId="0" fillId="0" borderId="105" xfId="0" applyNumberFormat="1" applyBorder="1" applyAlignment="1">
      <alignment vertical="center"/>
    </xf>
    <xf numFmtId="0" fontId="42" fillId="2" borderId="87" xfId="0" applyFont="1" applyFill="1" applyBorder="1" applyAlignment="1">
      <alignment horizontal="center" wrapText="1"/>
    </xf>
    <xf numFmtId="0" fontId="42" fillId="2" borderId="88" xfId="0" applyFont="1" applyFill="1" applyBorder="1" applyAlignment="1">
      <alignment horizontal="center" wrapText="1"/>
    </xf>
    <xf numFmtId="0" fontId="42" fillId="2" borderId="89" xfId="0" applyFont="1" applyFill="1" applyBorder="1" applyAlignment="1">
      <alignment horizontal="center" wrapText="1"/>
    </xf>
    <xf numFmtId="44" fontId="2" fillId="0" borderId="122" xfId="0" applyNumberFormat="1" applyFont="1" applyBorder="1"/>
    <xf numFmtId="0" fontId="53" fillId="0" borderId="0" xfId="0" applyFont="1" applyAlignment="1"/>
    <xf numFmtId="44" fontId="0" fillId="0" borderId="104" xfId="0" applyNumberFormat="1" applyBorder="1" applyAlignment="1" applyProtection="1">
      <alignment vertical="center"/>
      <protection locked="0"/>
    </xf>
    <xf numFmtId="41" fontId="0" fillId="0" borderId="104" xfId="0" applyNumberFormat="1" applyBorder="1" applyAlignment="1" applyProtection="1">
      <alignment vertical="center"/>
      <protection locked="0"/>
    </xf>
    <xf numFmtId="0" fontId="3" fillId="3" borderId="32" xfId="0" applyFont="1" applyFill="1" applyBorder="1" applyAlignment="1">
      <alignment horizontal="center" wrapText="1"/>
    </xf>
    <xf numFmtId="0" fontId="3" fillId="3" borderId="23" xfId="0" applyFont="1" applyFill="1" applyBorder="1" applyAlignment="1">
      <alignment horizontal="center" wrapText="1"/>
    </xf>
    <xf numFmtId="0" fontId="0" fillId="0" borderId="22" xfId="0" applyFont="1" applyBorder="1" applyAlignment="1" applyProtection="1">
      <alignment vertical="top"/>
    </xf>
    <xf numFmtId="0" fontId="0" fillId="0" borderId="11" xfId="0" applyFont="1" applyBorder="1" applyAlignment="1" applyProtection="1">
      <alignment vertical="top"/>
    </xf>
    <xf numFmtId="0" fontId="0" fillId="0" borderId="32" xfId="0" applyFont="1" applyBorder="1" applyAlignment="1" applyProtection="1">
      <alignment vertical="top"/>
    </xf>
    <xf numFmtId="0" fontId="0" fillId="0" borderId="0" xfId="0" applyFont="1" applyBorder="1" applyAlignment="1">
      <alignment vertical="top"/>
    </xf>
    <xf numFmtId="49" fontId="0" fillId="0" borderId="79" xfId="0" applyNumberFormat="1" applyBorder="1" applyAlignment="1" applyProtection="1">
      <alignment vertical="top"/>
      <protection locked="0"/>
    </xf>
    <xf numFmtId="0" fontId="0" fillId="0" borderId="79" xfId="0" applyFont="1" applyBorder="1" applyAlignment="1" applyProtection="1">
      <alignment horizontal="left" vertical="top"/>
      <protection locked="0"/>
    </xf>
    <xf numFmtId="168" fontId="0" fillId="0" borderId="79" xfId="0" applyNumberFormat="1" applyFont="1" applyBorder="1" applyAlignment="1" applyProtection="1">
      <alignment vertical="top"/>
      <protection locked="0"/>
    </xf>
    <xf numFmtId="49" fontId="0" fillId="0" borderId="79" xfId="0" applyNumberFormat="1" applyFont="1" applyBorder="1" applyAlignment="1" applyProtection="1">
      <alignment vertical="top" wrapText="1"/>
      <protection locked="0"/>
    </xf>
    <xf numFmtId="49" fontId="0" fillId="0" borderId="79" xfId="0" applyNumberFormat="1" applyFont="1" applyBorder="1" applyAlignment="1" applyProtection="1">
      <alignment vertical="top"/>
      <protection locked="0"/>
    </xf>
    <xf numFmtId="170" fontId="0" fillId="0" borderId="79" xfId="0" applyNumberFormat="1" applyFont="1" applyBorder="1" applyAlignment="1" applyProtection="1">
      <alignment horizontal="center" vertical="top"/>
      <protection locked="0"/>
    </xf>
    <xf numFmtId="0" fontId="0" fillId="0" borderId="79" xfId="0" applyFont="1" applyBorder="1" applyAlignment="1" applyProtection="1">
      <alignment vertical="top"/>
      <protection locked="0"/>
    </xf>
    <xf numFmtId="49" fontId="0" fillId="0" borderId="81" xfId="0" applyNumberFormat="1" applyFont="1" applyBorder="1" applyAlignment="1" applyProtection="1">
      <alignment vertical="top"/>
      <protection locked="0"/>
    </xf>
    <xf numFmtId="0" fontId="0" fillId="0" borderId="81" xfId="0" applyFont="1" applyBorder="1" applyAlignment="1" applyProtection="1">
      <alignment horizontal="left" vertical="top"/>
      <protection locked="0"/>
    </xf>
    <xf numFmtId="168" fontId="0" fillId="0" borderId="81" xfId="0" applyNumberFormat="1" applyFont="1" applyBorder="1" applyAlignment="1" applyProtection="1">
      <alignment vertical="top"/>
      <protection locked="0"/>
    </xf>
    <xf numFmtId="49" fontId="0" fillId="0" borderId="81" xfId="0" applyNumberFormat="1" applyFont="1" applyBorder="1" applyAlignment="1" applyProtection="1">
      <alignment vertical="top" wrapText="1"/>
      <protection locked="0"/>
    </xf>
    <xf numFmtId="170" fontId="0" fillId="0" borderId="81" xfId="0" applyNumberFormat="1" applyFont="1" applyBorder="1" applyAlignment="1" applyProtection="1">
      <alignment horizontal="center" vertical="top"/>
      <protection locked="0"/>
    </xf>
    <xf numFmtId="0" fontId="0" fillId="0" borderId="81" xfId="0" applyFont="1" applyBorder="1" applyAlignment="1" applyProtection="1">
      <alignment vertical="top"/>
      <protection locked="0"/>
    </xf>
    <xf numFmtId="0" fontId="3" fillId="3" borderId="104" xfId="0" applyFont="1" applyFill="1" applyBorder="1" applyAlignment="1">
      <alignment wrapText="1"/>
    </xf>
    <xf numFmtId="0" fontId="3" fillId="3" borderId="104" xfId="0" applyFont="1" applyFill="1" applyBorder="1" applyAlignment="1">
      <alignment horizontal="center" wrapText="1"/>
    </xf>
    <xf numFmtId="0" fontId="3" fillId="8" borderId="104" xfId="0" applyFont="1" applyFill="1" applyBorder="1" applyAlignment="1">
      <alignment wrapText="1"/>
    </xf>
    <xf numFmtId="0" fontId="3" fillId="8" borderId="104" xfId="0" applyFont="1" applyFill="1" applyBorder="1" applyAlignment="1">
      <alignment horizontal="center" wrapText="1"/>
    </xf>
    <xf numFmtId="0" fontId="3" fillId="5" borderId="104" xfId="0" applyFont="1" applyFill="1" applyBorder="1" applyAlignment="1">
      <alignment horizontal="center" wrapText="1"/>
    </xf>
    <xf numFmtId="0" fontId="3" fillId="5" borderId="104" xfId="0" applyFont="1" applyFill="1" applyBorder="1" applyAlignment="1">
      <alignment horizontal="left" wrapText="1" indent="1"/>
    </xf>
    <xf numFmtId="0" fontId="3" fillId="6" borderId="104" xfId="0" applyFont="1" applyFill="1" applyBorder="1" applyAlignment="1">
      <alignment horizontal="center" wrapText="1"/>
    </xf>
    <xf numFmtId="0" fontId="3" fillId="6" borderId="104" xfId="0" applyFont="1" applyFill="1" applyBorder="1" applyAlignment="1">
      <alignment horizontal="left" wrapText="1" indent="1"/>
    </xf>
    <xf numFmtId="0" fontId="3" fillId="6" borderId="104" xfId="0" applyFont="1" applyFill="1" applyBorder="1" applyAlignment="1">
      <alignment wrapText="1"/>
    </xf>
    <xf numFmtId="0" fontId="42" fillId="3" borderId="81" xfId="0" applyFont="1" applyFill="1" applyBorder="1" applyAlignment="1">
      <alignment wrapText="1"/>
    </xf>
    <xf numFmtId="0" fontId="42" fillId="3" borderId="81" xfId="0" applyFont="1" applyFill="1" applyBorder="1" applyAlignment="1">
      <alignment horizontal="center" wrapText="1"/>
    </xf>
    <xf numFmtId="0" fontId="42" fillId="8" borderId="81" xfId="0" applyFont="1" applyFill="1" applyBorder="1" applyAlignment="1">
      <alignment wrapText="1"/>
    </xf>
    <xf numFmtId="0" fontId="42" fillId="8" borderId="81" xfId="0" applyFont="1" applyFill="1" applyBorder="1" applyAlignment="1">
      <alignment horizontal="center" wrapText="1"/>
    </xf>
    <xf numFmtId="0" fontId="42" fillId="5" borderId="81" xfId="0" applyFont="1" applyFill="1" applyBorder="1" applyAlignment="1">
      <alignment horizontal="center" wrapText="1"/>
    </xf>
    <xf numFmtId="0" fontId="42" fillId="5" borderId="81" xfId="0" applyFont="1" applyFill="1" applyBorder="1" applyAlignment="1">
      <alignment horizontal="left" wrapText="1"/>
    </xf>
    <xf numFmtId="0" fontId="42" fillId="6" borderId="81" xfId="0" applyFont="1" applyFill="1" applyBorder="1" applyAlignment="1">
      <alignment horizontal="center" wrapText="1"/>
    </xf>
    <xf numFmtId="0" fontId="42" fillId="6" borderId="81" xfId="0" applyFont="1" applyFill="1" applyBorder="1" applyAlignment="1">
      <alignment horizontal="left" wrapText="1"/>
    </xf>
    <xf numFmtId="0" fontId="42" fillId="6" borderId="81" xfId="0" applyFont="1" applyFill="1" applyBorder="1" applyAlignment="1">
      <alignment wrapText="1"/>
    </xf>
    <xf numFmtId="165" fontId="42" fillId="2" borderId="81" xfId="0" applyNumberFormat="1" applyFont="1" applyFill="1" applyBorder="1" applyAlignment="1">
      <alignment horizontal="center" wrapText="1"/>
    </xf>
    <xf numFmtId="0" fontId="42" fillId="0" borderId="90" xfId="0" applyFont="1" applyFill="1" applyBorder="1"/>
    <xf numFmtId="0" fontId="42" fillId="0" borderId="96" xfId="0" applyFont="1" applyFill="1" applyBorder="1" applyAlignment="1">
      <alignment wrapText="1"/>
    </xf>
    <xf numFmtId="0" fontId="3" fillId="0" borderId="123" xfId="0" applyFont="1" applyFill="1" applyBorder="1" applyAlignment="1">
      <alignment wrapText="1"/>
    </xf>
    <xf numFmtId="167" fontId="0" fillId="0" borderId="93" xfId="0" applyNumberFormat="1" applyFont="1" applyBorder="1" applyAlignment="1">
      <alignment vertical="top"/>
    </xf>
    <xf numFmtId="167" fontId="0" fillId="0" borderId="96" xfId="0" applyNumberFormat="1" applyFont="1" applyBorder="1" applyAlignment="1">
      <alignment vertical="top"/>
    </xf>
    <xf numFmtId="0" fontId="42" fillId="3" borderId="80" xfId="0" applyFont="1" applyFill="1" applyBorder="1" applyAlignment="1">
      <alignment wrapText="1"/>
    </xf>
    <xf numFmtId="0" fontId="42" fillId="3" borderId="86" xfId="0" applyFont="1" applyFill="1" applyBorder="1" applyAlignment="1">
      <alignment horizontal="center" wrapText="1"/>
    </xf>
    <xf numFmtId="0" fontId="3" fillId="3" borderId="103" xfId="0" applyFont="1" applyFill="1" applyBorder="1" applyAlignment="1">
      <alignment wrapText="1"/>
    </xf>
    <xf numFmtId="0" fontId="3" fillId="3" borderId="105" xfId="0" applyFont="1" applyFill="1" applyBorder="1" applyAlignment="1">
      <alignment horizontal="center" wrapText="1"/>
    </xf>
    <xf numFmtId="49" fontId="0" fillId="0" borderId="78" xfId="0" applyNumberFormat="1" applyBorder="1" applyAlignment="1" applyProtection="1">
      <alignment vertical="top"/>
      <protection locked="0"/>
    </xf>
    <xf numFmtId="0" fontId="0" fillId="0" borderId="99" xfId="0" applyFont="1" applyBorder="1" applyAlignment="1" applyProtection="1">
      <alignment horizontal="center" vertical="top"/>
      <protection locked="0"/>
    </xf>
    <xf numFmtId="49" fontId="0" fillId="0" borderId="78" xfId="0" applyNumberFormat="1" applyFont="1" applyBorder="1" applyAlignment="1" applyProtection="1">
      <alignment vertical="top"/>
      <protection locked="0"/>
    </xf>
    <xf numFmtId="0" fontId="0" fillId="0" borderId="86" xfId="0" applyFont="1" applyBorder="1" applyAlignment="1" applyProtection="1">
      <alignment horizontal="center" vertical="top"/>
      <protection locked="0"/>
    </xf>
    <xf numFmtId="0" fontId="42" fillId="8" borderId="86" xfId="0" applyFont="1" applyFill="1" applyBorder="1" applyAlignment="1">
      <alignment horizontal="center" wrapText="1"/>
    </xf>
    <xf numFmtId="0" fontId="3" fillId="4" borderId="103" xfId="0" applyFont="1" applyFill="1" applyBorder="1" applyAlignment="1">
      <alignment horizontal="center" wrapText="1"/>
    </xf>
    <xf numFmtId="0" fontId="3" fillId="8" borderId="105" xfId="0" applyFont="1" applyFill="1" applyBorder="1" applyAlignment="1">
      <alignment horizontal="center" wrapText="1"/>
    </xf>
    <xf numFmtId="0" fontId="0" fillId="0" borderId="78" xfId="0" applyFont="1" applyBorder="1" applyAlignment="1" applyProtection="1">
      <alignment horizontal="center" vertical="top"/>
      <protection locked="0"/>
    </xf>
    <xf numFmtId="168" fontId="0" fillId="0" borderId="99" xfId="0" applyNumberFormat="1" applyFont="1" applyBorder="1" applyAlignment="1" applyProtection="1">
      <alignment vertical="top"/>
      <protection locked="0"/>
    </xf>
    <xf numFmtId="0" fontId="0" fillId="0" borderId="80" xfId="0" applyFont="1" applyBorder="1" applyAlignment="1" applyProtection="1">
      <alignment horizontal="center" vertical="top"/>
      <protection locked="0"/>
    </xf>
    <xf numFmtId="168" fontId="0" fillId="0" borderId="86" xfId="0" applyNumberFormat="1" applyFont="1" applyBorder="1" applyAlignment="1" applyProtection="1">
      <alignment vertical="top"/>
      <protection locked="0"/>
    </xf>
    <xf numFmtId="0" fontId="42" fillId="5" borderId="80" xfId="0" applyFont="1" applyFill="1" applyBorder="1" applyAlignment="1">
      <alignment horizontal="center" wrapText="1"/>
    </xf>
    <xf numFmtId="0" fontId="42" fillId="5" borderId="86" xfId="0" applyFont="1" applyFill="1" applyBorder="1" applyAlignment="1">
      <alignment horizontal="center" wrapText="1"/>
    </xf>
    <xf numFmtId="0" fontId="3" fillId="5" borderId="103" xfId="0" applyFont="1" applyFill="1" applyBorder="1" applyAlignment="1">
      <alignment horizontal="center" wrapText="1"/>
    </xf>
    <xf numFmtId="0" fontId="3" fillId="5" borderId="105" xfId="0" applyFont="1" applyFill="1" applyBorder="1" applyAlignment="1">
      <alignment horizontal="center" wrapText="1"/>
    </xf>
    <xf numFmtId="169" fontId="0" fillId="0" borderId="78" xfId="0" applyNumberFormat="1" applyFont="1" applyBorder="1" applyAlignment="1" applyProtection="1">
      <alignment vertical="top"/>
      <protection locked="0"/>
    </xf>
    <xf numFmtId="49" fontId="0" fillId="0" borderId="99" xfId="0" applyNumberFormat="1" applyFont="1" applyBorder="1" applyAlignment="1" applyProtection="1">
      <alignment vertical="top"/>
      <protection locked="0"/>
    </xf>
    <xf numFmtId="169" fontId="0" fillId="0" borderId="80" xfId="0" applyNumberFormat="1" applyFont="1" applyBorder="1" applyAlignment="1" applyProtection="1">
      <alignment vertical="top"/>
      <protection locked="0"/>
    </xf>
    <xf numFmtId="49" fontId="0" fillId="0" borderId="86" xfId="0" applyNumberFormat="1" applyFont="1" applyBorder="1" applyAlignment="1" applyProtection="1">
      <alignment vertical="top"/>
      <protection locked="0"/>
    </xf>
    <xf numFmtId="0" fontId="42" fillId="6" borderId="80" xfId="0" applyFont="1" applyFill="1" applyBorder="1" applyAlignment="1">
      <alignment horizontal="center" wrapText="1"/>
    </xf>
    <xf numFmtId="0" fontId="42" fillId="6" borderId="86" xfId="0" applyFont="1" applyFill="1" applyBorder="1" applyAlignment="1">
      <alignment horizontal="center" wrapText="1"/>
    </xf>
    <xf numFmtId="0" fontId="3" fillId="6" borderId="103" xfId="0" applyFont="1" applyFill="1" applyBorder="1" applyAlignment="1">
      <alignment horizontal="center" wrapText="1"/>
    </xf>
    <xf numFmtId="0" fontId="3" fillId="6" borderId="105" xfId="0" applyFont="1" applyFill="1" applyBorder="1" applyAlignment="1">
      <alignment wrapText="1"/>
    </xf>
    <xf numFmtId="0" fontId="42" fillId="7" borderId="80" xfId="0" applyFont="1" applyFill="1" applyBorder="1" applyAlignment="1">
      <alignment horizontal="center" wrapText="1"/>
    </xf>
    <xf numFmtId="0" fontId="42" fillId="7" borderId="86" xfId="0" applyFont="1" applyFill="1" applyBorder="1" applyAlignment="1">
      <alignment horizontal="center" wrapText="1"/>
    </xf>
    <xf numFmtId="0" fontId="3" fillId="7" borderId="103" xfId="0" applyFont="1" applyFill="1" applyBorder="1" applyAlignment="1">
      <alignment horizontal="center" wrapText="1"/>
    </xf>
    <xf numFmtId="0" fontId="3" fillId="7" borderId="105" xfId="0" applyFont="1" applyFill="1" applyBorder="1" applyAlignment="1">
      <alignment horizontal="center" wrapText="1"/>
    </xf>
    <xf numFmtId="165" fontId="42" fillId="2" borderId="80" xfId="0" applyNumberFormat="1" applyFont="1" applyFill="1" applyBorder="1" applyAlignment="1">
      <alignment horizontal="center" wrapText="1"/>
    </xf>
    <xf numFmtId="165" fontId="42" fillId="2" borderId="86" xfId="0" applyNumberFormat="1" applyFont="1" applyFill="1" applyBorder="1" applyAlignment="1">
      <alignment horizontal="center" wrapText="1"/>
    </xf>
    <xf numFmtId="0" fontId="0" fillId="0" borderId="78" xfId="0" applyFont="1" applyBorder="1" applyAlignment="1" applyProtection="1">
      <alignment horizontal="left" vertical="top"/>
      <protection locked="0"/>
    </xf>
    <xf numFmtId="0" fontId="0" fillId="0" borderId="99" xfId="0" applyFont="1" applyBorder="1" applyAlignment="1" applyProtection="1">
      <alignment horizontal="left" vertical="top"/>
      <protection locked="0"/>
    </xf>
    <xf numFmtId="0" fontId="0" fillId="0" borderId="80" xfId="0" applyFont="1" applyBorder="1" applyAlignment="1" applyProtection="1">
      <alignment horizontal="left" vertical="top"/>
      <protection locked="0"/>
    </xf>
    <xf numFmtId="0" fontId="0" fillId="0" borderId="86" xfId="0" applyFont="1" applyBorder="1" applyAlignment="1" applyProtection="1">
      <alignment horizontal="left" vertical="top"/>
      <protection locked="0"/>
    </xf>
    <xf numFmtId="165" fontId="3" fillId="3" borderId="112" xfId="0" applyNumberFormat="1" applyFont="1" applyFill="1" applyBorder="1" applyAlignment="1">
      <alignment horizontal="center" wrapText="1"/>
    </xf>
    <xf numFmtId="0" fontId="0" fillId="0" borderId="120" xfId="0" applyNumberFormat="1" applyFont="1" applyBorder="1" applyAlignment="1">
      <alignment horizontal="center" vertical="top"/>
    </xf>
    <xf numFmtId="0" fontId="42" fillId="3" borderId="91" xfId="0" applyFont="1" applyFill="1" applyBorder="1"/>
    <xf numFmtId="0" fontId="42" fillId="3" borderId="97" xfId="0" applyFont="1" applyFill="1" applyBorder="1"/>
    <xf numFmtId="165" fontId="7" fillId="3" borderId="125" xfId="0" applyNumberFormat="1" applyFont="1" applyFill="1" applyBorder="1" applyAlignment="1">
      <alignment wrapText="1"/>
    </xf>
    <xf numFmtId="0" fontId="0" fillId="0" borderId="94" xfId="0" applyNumberFormat="1" applyFont="1" applyBorder="1" applyAlignment="1">
      <alignment horizontal="center" vertical="top"/>
    </xf>
    <xf numFmtId="0" fontId="42" fillId="2" borderId="118" xfId="0" applyFont="1" applyFill="1" applyBorder="1" applyAlignment="1">
      <alignment horizontal="center"/>
    </xf>
    <xf numFmtId="0" fontId="42" fillId="2" borderId="124" xfId="0" applyFont="1" applyFill="1" applyBorder="1" applyAlignment="1">
      <alignment horizontal="center" wrapText="1"/>
    </xf>
    <xf numFmtId="0" fontId="3" fillId="2" borderId="112" xfId="0" applyFont="1" applyFill="1" applyBorder="1" applyAlignment="1">
      <alignment horizontal="center" wrapText="1"/>
    </xf>
    <xf numFmtId="44" fontId="0" fillId="0" borderId="120" xfId="0" applyNumberFormat="1" applyFont="1" applyBorder="1" applyAlignment="1">
      <alignment vertical="top"/>
    </xf>
    <xf numFmtId="44" fontId="0" fillId="0" borderId="124" xfId="0" applyNumberFormat="1" applyFont="1" applyBorder="1" applyAlignment="1">
      <alignment vertical="top"/>
    </xf>
    <xf numFmtId="44" fontId="2" fillId="0" borderId="16" xfId="0" applyNumberFormat="1" applyFont="1" applyBorder="1"/>
    <xf numFmtId="44" fontId="2" fillId="0" borderId="18" xfId="0" applyNumberFormat="1" applyFont="1" applyBorder="1"/>
    <xf numFmtId="0" fontId="42" fillId="2" borderId="128" xfId="0" applyFont="1" applyFill="1" applyBorder="1" applyAlignment="1">
      <alignment horizontal="center"/>
    </xf>
    <xf numFmtId="0" fontId="42" fillId="2" borderId="129" xfId="0" applyFont="1" applyFill="1" applyBorder="1" applyAlignment="1">
      <alignment horizontal="center"/>
    </xf>
    <xf numFmtId="0" fontId="0" fillId="0" borderId="60" xfId="0" applyBorder="1"/>
    <xf numFmtId="164" fontId="0" fillId="18" borderId="5" xfId="0" applyNumberFormat="1" applyFill="1" applyBorder="1" applyProtection="1"/>
    <xf numFmtId="49" fontId="37" fillId="2" borderId="103" xfId="0" applyNumberFormat="1" applyFont="1" applyFill="1" applyBorder="1" applyAlignment="1">
      <alignment horizontal="center" wrapText="1"/>
    </xf>
    <xf numFmtId="49" fontId="37" fillId="2" borderId="104" xfId="0" applyNumberFormat="1" applyFont="1" applyFill="1" applyBorder="1" applyAlignment="1">
      <alignment horizontal="center" wrapText="1"/>
    </xf>
    <xf numFmtId="49" fontId="37" fillId="2" borderId="105" xfId="0" applyNumberFormat="1" applyFont="1" applyFill="1" applyBorder="1" applyAlignment="1">
      <alignment horizontal="center" wrapText="1"/>
    </xf>
    <xf numFmtId="0" fontId="33" fillId="14" borderId="69" xfId="0" applyFont="1" applyFill="1" applyBorder="1"/>
    <xf numFmtId="165" fontId="0" fillId="15" borderId="70" xfId="0" applyNumberFormat="1" applyFont="1" applyFill="1" applyBorder="1"/>
    <xf numFmtId="49" fontId="36" fillId="13" borderId="5" xfId="0" applyNumberFormat="1" applyFont="1" applyFill="1" applyBorder="1" applyAlignment="1" applyProtection="1">
      <alignment horizontal="center"/>
    </xf>
    <xf numFmtId="49" fontId="36" fillId="12" borderId="5" xfId="0" applyNumberFormat="1" applyFont="1" applyFill="1" applyBorder="1" applyAlignment="1" applyProtection="1">
      <alignment horizontal="center"/>
    </xf>
    <xf numFmtId="49" fontId="36" fillId="12" borderId="60" xfId="0" applyNumberFormat="1" applyFont="1" applyFill="1" applyBorder="1" applyAlignment="1" applyProtection="1">
      <alignment horizontal="center"/>
    </xf>
    <xf numFmtId="177" fontId="7" fillId="13" borderId="5" xfId="0" applyNumberFormat="1" applyFont="1" applyFill="1" applyBorder="1" applyAlignment="1" applyProtection="1">
      <alignment horizontal="center"/>
    </xf>
    <xf numFmtId="177" fontId="36" fillId="12" borderId="5" xfId="0" applyNumberFormat="1" applyFont="1" applyFill="1" applyBorder="1" applyAlignment="1" applyProtection="1">
      <alignment horizontal="center"/>
    </xf>
    <xf numFmtId="0" fontId="42" fillId="2" borderId="87" xfId="0" applyFont="1" applyFill="1" applyBorder="1"/>
    <xf numFmtId="0" fontId="42" fillId="2" borderId="88" xfId="0" applyFont="1" applyFill="1" applyBorder="1"/>
    <xf numFmtId="165" fontId="42" fillId="2" borderId="88" xfId="0" applyNumberFormat="1" applyFont="1" applyFill="1" applyBorder="1" applyAlignment="1">
      <alignment horizontal="center"/>
    </xf>
    <xf numFmtId="49" fontId="0" fillId="0" borderId="79" xfId="0" applyNumberFormat="1" applyBorder="1" applyAlignment="1" applyProtection="1">
      <alignment vertical="top" wrapText="1"/>
      <protection locked="0"/>
    </xf>
    <xf numFmtId="0" fontId="0" fillId="0" borderId="97" xfId="0" applyNumberFormat="1" applyFont="1" applyBorder="1" applyAlignment="1">
      <alignment horizontal="center" vertical="top"/>
    </xf>
    <xf numFmtId="44" fontId="0" fillId="0" borderId="94" xfId="0" applyNumberFormat="1" applyFont="1" applyBorder="1" applyAlignment="1">
      <alignment horizontal="center" vertical="top"/>
    </xf>
    <xf numFmtId="49" fontId="0" fillId="0" borderId="80" xfId="0" applyNumberFormat="1" applyBorder="1" applyAlignment="1" applyProtection="1">
      <alignment vertical="top"/>
      <protection locked="0"/>
    </xf>
    <xf numFmtId="0" fontId="0" fillId="0" borderId="124" xfId="0" applyNumberFormat="1" applyFont="1" applyBorder="1" applyAlignment="1">
      <alignment horizontal="center" vertical="top"/>
    </xf>
    <xf numFmtId="0" fontId="0" fillId="0" borderId="99" xfId="0" applyBorder="1" applyAlignment="1" applyProtection="1">
      <alignment horizontal="center" vertical="top"/>
      <protection locked="0"/>
    </xf>
    <xf numFmtId="0" fontId="0" fillId="0" borderId="78" xfId="0" applyBorder="1" applyAlignment="1" applyProtection="1">
      <alignment horizontal="center" vertical="top"/>
      <protection locked="0"/>
    </xf>
    <xf numFmtId="0" fontId="34" fillId="10" borderId="0" xfId="0" applyFont="1" applyFill="1" applyAlignment="1">
      <alignment horizontal="center" vertical="center" wrapText="1"/>
    </xf>
    <xf numFmtId="0" fontId="34" fillId="10" borderId="0" xfId="0" applyFont="1" applyFill="1" applyAlignment="1">
      <alignment horizontal="center" vertical="center"/>
    </xf>
    <xf numFmtId="0" fontId="34" fillId="10" borderId="0" xfId="0" applyFont="1" applyFill="1" applyBorder="1" applyAlignment="1">
      <alignment horizontal="center" vertical="center"/>
    </xf>
    <xf numFmtId="0" fontId="42" fillId="2" borderId="90" xfId="0" applyFont="1" applyFill="1" applyBorder="1" applyAlignment="1">
      <alignment horizontal="left"/>
    </xf>
    <xf numFmtId="0" fontId="42" fillId="2" borderId="91" xfId="0" applyFont="1" applyFill="1" applyBorder="1" applyAlignment="1">
      <alignment horizontal="left"/>
    </xf>
    <xf numFmtId="0" fontId="42" fillId="2" borderId="92" xfId="0" applyFont="1" applyFill="1" applyBorder="1" applyAlignment="1">
      <alignment horizontal="left"/>
    </xf>
    <xf numFmtId="0" fontId="22" fillId="0" borderId="93" xfId="0" applyFont="1" applyBorder="1" applyAlignment="1" applyProtection="1">
      <alignment horizontal="left" vertical="top" wrapText="1"/>
      <protection locked="0"/>
    </xf>
    <xf numFmtId="0" fontId="22" fillId="0" borderId="94" xfId="0" applyFont="1" applyBorder="1" applyAlignment="1" applyProtection="1">
      <alignment horizontal="left" vertical="top" wrapText="1"/>
      <protection locked="0"/>
    </xf>
    <xf numFmtId="0" fontId="22" fillId="0" borderId="95" xfId="0" applyFont="1" applyBorder="1" applyAlignment="1" applyProtection="1">
      <alignment horizontal="left" vertical="top" wrapText="1"/>
      <protection locked="0"/>
    </xf>
    <xf numFmtId="0" fontId="22" fillId="0" borderId="96" xfId="0" applyFont="1" applyBorder="1" applyAlignment="1" applyProtection="1">
      <alignment horizontal="left" vertical="top" wrapText="1"/>
      <protection locked="0"/>
    </xf>
    <xf numFmtId="0" fontId="22" fillId="0" borderId="97" xfId="0" applyFont="1" applyBorder="1" applyAlignment="1" applyProtection="1">
      <alignment horizontal="left" vertical="top" wrapText="1"/>
      <protection locked="0"/>
    </xf>
    <xf numFmtId="0" fontId="22" fillId="0" borderId="98" xfId="0" applyFont="1" applyBorder="1" applyAlignment="1" applyProtection="1">
      <alignment horizontal="left" vertical="top" wrapText="1"/>
      <protection locked="0"/>
    </xf>
    <xf numFmtId="49" fontId="0" fillId="0" borderId="76" xfId="0" applyNumberFormat="1" applyBorder="1" applyAlignment="1" applyProtection="1">
      <alignment horizontal="left"/>
      <protection locked="0"/>
    </xf>
    <xf numFmtId="49" fontId="0" fillId="0" borderId="85" xfId="0" applyNumberFormat="1" applyBorder="1" applyAlignment="1" applyProtection="1">
      <alignment horizontal="left"/>
      <protection locked="0"/>
    </xf>
    <xf numFmtId="49" fontId="6" fillId="0" borderId="81" xfId="1" applyNumberFormat="1" applyBorder="1" applyAlignment="1" applyProtection="1">
      <alignment horizontal="left"/>
      <protection locked="0"/>
    </xf>
    <xf numFmtId="49" fontId="6" fillId="0" borderId="86" xfId="1" applyNumberFormat="1" applyBorder="1" applyAlignment="1" applyProtection="1">
      <alignment horizontal="left"/>
      <protection locked="0"/>
    </xf>
    <xf numFmtId="0" fontId="41" fillId="0" borderId="0" xfId="0" applyFont="1" applyAlignment="1">
      <alignment horizontal="center" vertical="center"/>
    </xf>
    <xf numFmtId="0" fontId="42" fillId="0" borderId="0" xfId="0" applyFont="1" applyAlignment="1">
      <alignment horizontal="center" vertical="center" wrapText="1"/>
    </xf>
    <xf numFmtId="0" fontId="42" fillId="2" borderId="126" xfId="0" applyFont="1" applyFill="1" applyBorder="1" applyAlignment="1">
      <alignment horizontal="center" vertical="center"/>
    </xf>
    <xf numFmtId="0" fontId="42" fillId="2" borderId="127" xfId="0" applyFont="1" applyFill="1" applyBorder="1" applyAlignment="1">
      <alignment horizontal="center" vertical="center"/>
    </xf>
    <xf numFmtId="0" fontId="42" fillId="2" borderId="75" xfId="0" applyFont="1" applyFill="1" applyBorder="1" applyAlignment="1">
      <alignment horizontal="right"/>
    </xf>
    <xf numFmtId="0" fontId="42" fillId="2" borderId="76" xfId="0" applyFont="1" applyFill="1" applyBorder="1" applyAlignment="1">
      <alignment horizontal="right"/>
    </xf>
    <xf numFmtId="0" fontId="42" fillId="2" borderId="78" xfId="0" applyFont="1" applyFill="1" applyBorder="1" applyAlignment="1">
      <alignment horizontal="right"/>
    </xf>
    <xf numFmtId="0" fontId="42" fillId="2" borderId="79" xfId="0" applyFont="1" applyFill="1" applyBorder="1" applyAlignment="1">
      <alignment horizontal="right"/>
    </xf>
    <xf numFmtId="49" fontId="0" fillId="0" borderId="79" xfId="0" applyNumberFormat="1" applyBorder="1" applyAlignment="1" applyProtection="1">
      <alignment horizontal="left"/>
      <protection locked="0"/>
    </xf>
    <xf numFmtId="49" fontId="0" fillId="0" borderId="83" xfId="0" applyNumberFormat="1" applyBorder="1" applyAlignment="1" applyProtection="1">
      <alignment horizontal="left"/>
      <protection locked="0"/>
    </xf>
    <xf numFmtId="0" fontId="42" fillId="2" borderId="80" xfId="0" applyFont="1" applyFill="1" applyBorder="1" applyAlignment="1">
      <alignment horizontal="right"/>
    </xf>
    <xf numFmtId="0" fontId="42" fillId="2" borderId="81" xfId="0" applyFont="1" applyFill="1" applyBorder="1" applyAlignment="1">
      <alignment horizontal="right"/>
    </xf>
    <xf numFmtId="49" fontId="0" fillId="0" borderId="81" xfId="0" applyNumberFormat="1" applyBorder="1" applyAlignment="1" applyProtection="1">
      <alignment horizontal="left"/>
      <protection locked="0"/>
    </xf>
    <xf numFmtId="49" fontId="0" fillId="0" borderId="84" xfId="0" applyNumberFormat="1" applyBorder="1" applyAlignment="1" applyProtection="1">
      <alignment horizontal="left"/>
      <protection locked="0"/>
    </xf>
    <xf numFmtId="49" fontId="0" fillId="0" borderId="77" xfId="0" applyNumberFormat="1" applyBorder="1" applyAlignment="1" applyProtection="1">
      <alignment horizontal="left"/>
      <protection locked="0"/>
    </xf>
    <xf numFmtId="0" fontId="42" fillId="2" borderId="87" xfId="0" applyFont="1" applyFill="1" applyBorder="1" applyAlignment="1">
      <alignment horizontal="right"/>
    </xf>
    <xf numFmtId="0" fontId="42" fillId="2" borderId="88" xfId="0" applyFont="1" applyFill="1" applyBorder="1" applyAlignment="1">
      <alignment horizontal="right"/>
    </xf>
    <xf numFmtId="0" fontId="3" fillId="2" borderId="1" xfId="0" applyFont="1" applyFill="1" applyBorder="1" applyAlignment="1">
      <alignment horizontal="center"/>
    </xf>
    <xf numFmtId="0" fontId="3" fillId="2" borderId="2" xfId="0" applyFont="1" applyFill="1" applyBorder="1" applyAlignment="1">
      <alignment horizontal="center"/>
    </xf>
    <xf numFmtId="0" fontId="3" fillId="2" borderId="7" xfId="0" applyFont="1" applyFill="1" applyBorder="1" applyAlignment="1">
      <alignment horizontal="center"/>
    </xf>
    <xf numFmtId="0" fontId="3" fillId="2" borderId="8" xfId="0" applyFont="1" applyFill="1" applyBorder="1" applyAlignment="1">
      <alignment horizontal="center"/>
    </xf>
    <xf numFmtId="171" fontId="45" fillId="0" borderId="0" xfId="0" applyNumberFormat="1" applyFont="1" applyFill="1" applyBorder="1" applyAlignment="1">
      <alignment horizontal="left" vertical="center" indent="2"/>
    </xf>
    <xf numFmtId="0" fontId="42" fillId="2" borderId="100" xfId="0" applyFont="1" applyFill="1" applyBorder="1" applyAlignment="1">
      <alignment horizontal="center"/>
    </xf>
    <xf numFmtId="0" fontId="42" fillId="2" borderId="101" xfId="0" applyFont="1" applyFill="1" applyBorder="1" applyAlignment="1">
      <alignment horizontal="center"/>
    </xf>
    <xf numFmtId="0" fontId="42" fillId="2" borderId="102" xfId="0" applyFont="1" applyFill="1" applyBorder="1" applyAlignment="1">
      <alignment horizontal="center"/>
    </xf>
    <xf numFmtId="0" fontId="42" fillId="2" borderId="75" xfId="0" applyFont="1" applyFill="1" applyBorder="1" applyAlignment="1">
      <alignment horizontal="center"/>
    </xf>
    <xf numFmtId="0" fontId="42" fillId="2" borderId="76" xfId="0" applyFont="1" applyFill="1" applyBorder="1" applyAlignment="1">
      <alignment horizontal="center"/>
    </xf>
    <xf numFmtId="0" fontId="42" fillId="2" borderId="85" xfId="0" applyFont="1" applyFill="1" applyBorder="1" applyAlignment="1">
      <alignment horizontal="center"/>
    </xf>
    <xf numFmtId="0" fontId="42" fillId="7" borderId="75" xfId="0" applyFont="1" applyFill="1" applyBorder="1" applyAlignment="1">
      <alignment horizontal="center"/>
    </xf>
    <xf numFmtId="0" fontId="42" fillId="7" borderId="85" xfId="0" applyFont="1" applyFill="1" applyBorder="1" applyAlignment="1">
      <alignment horizontal="center"/>
    </xf>
    <xf numFmtId="0" fontId="42" fillId="8" borderId="76" xfId="0" applyFont="1" applyFill="1" applyBorder="1" applyAlignment="1">
      <alignment horizontal="center"/>
    </xf>
    <xf numFmtId="0" fontId="42" fillId="8" borderId="85" xfId="0" applyFont="1" applyFill="1" applyBorder="1" applyAlignment="1">
      <alignment horizontal="center"/>
    </xf>
    <xf numFmtId="0" fontId="42" fillId="3" borderId="75" xfId="0" applyFont="1" applyFill="1" applyBorder="1" applyAlignment="1">
      <alignment horizontal="center"/>
    </xf>
    <xf numFmtId="0" fontId="42" fillId="3" borderId="76" xfId="0" applyFont="1" applyFill="1" applyBorder="1" applyAlignment="1">
      <alignment horizontal="center"/>
    </xf>
    <xf numFmtId="0" fontId="42" fillId="3" borderId="85" xfId="0" applyFont="1" applyFill="1" applyBorder="1" applyAlignment="1">
      <alignment horizontal="center"/>
    </xf>
    <xf numFmtId="0" fontId="42" fillId="5" borderId="75" xfId="0" applyFont="1" applyFill="1" applyBorder="1" applyAlignment="1">
      <alignment horizontal="center"/>
    </xf>
    <xf numFmtId="0" fontId="42" fillId="5" borderId="76" xfId="0" applyFont="1" applyFill="1" applyBorder="1" applyAlignment="1">
      <alignment horizontal="center"/>
    </xf>
    <xf numFmtId="0" fontId="42" fillId="5" borderId="85" xfId="0" applyFont="1" applyFill="1" applyBorder="1" applyAlignment="1">
      <alignment horizontal="center"/>
    </xf>
    <xf numFmtId="0" fontId="42" fillId="6" borderId="75" xfId="0" applyFont="1" applyFill="1" applyBorder="1" applyAlignment="1">
      <alignment horizontal="center"/>
    </xf>
    <xf numFmtId="0" fontId="42" fillId="6" borderId="76" xfId="0" applyFont="1" applyFill="1" applyBorder="1" applyAlignment="1">
      <alignment horizontal="center"/>
    </xf>
    <xf numFmtId="0" fontId="42" fillId="6" borderId="85" xfId="0" applyFont="1" applyFill="1" applyBorder="1" applyAlignment="1">
      <alignment horizontal="center"/>
    </xf>
    <xf numFmtId="165" fontId="42" fillId="3" borderId="118" xfId="0" applyNumberFormat="1" applyFont="1" applyFill="1" applyBorder="1" applyAlignment="1">
      <alignment horizontal="center" vertical="center" wrapText="1"/>
    </xf>
    <xf numFmtId="165" fontId="42" fillId="3" borderId="124" xfId="0" applyNumberFormat="1" applyFont="1" applyFill="1" applyBorder="1" applyAlignment="1">
      <alignment horizontal="center" vertical="center" wrapText="1"/>
    </xf>
    <xf numFmtId="0" fontId="42" fillId="4" borderId="75" xfId="0" applyFont="1" applyFill="1" applyBorder="1" applyAlignment="1">
      <alignment horizontal="center" vertical="center" wrapText="1"/>
    </xf>
    <xf numFmtId="0" fontId="42" fillId="4" borderId="80" xfId="0" applyFont="1" applyFill="1" applyBorder="1" applyAlignment="1">
      <alignment horizontal="center" vertical="center" wrapText="1"/>
    </xf>
    <xf numFmtId="0" fontId="41" fillId="0" borderId="0" xfId="0" applyFont="1" applyAlignment="1" applyProtection="1">
      <alignment horizontal="center" vertical="center"/>
      <protection hidden="1"/>
    </xf>
    <xf numFmtId="0" fontId="42" fillId="0" borderId="0" xfId="0" applyFont="1" applyAlignment="1" applyProtection="1">
      <alignment horizontal="center" vertical="center" wrapText="1"/>
      <protection hidden="1"/>
    </xf>
    <xf numFmtId="0" fontId="0" fillId="10" borderId="0" xfId="0" applyFill="1" applyAlignment="1" applyProtection="1">
      <alignment horizontal="left" vertical="top" wrapText="1"/>
      <protection hidden="1"/>
    </xf>
    <xf numFmtId="0" fontId="46" fillId="2" borderId="0" xfId="0" applyFont="1" applyFill="1" applyAlignment="1" applyProtection="1">
      <alignment horizontal="center"/>
      <protection hidden="1"/>
    </xf>
    <xf numFmtId="0" fontId="42" fillId="0" borderId="0" xfId="0" applyFont="1" applyBorder="1" applyAlignment="1" applyProtection="1">
      <alignment horizontal="center"/>
      <protection hidden="1"/>
    </xf>
    <xf numFmtId="0" fontId="2" fillId="10" borderId="0" xfId="0" applyFont="1" applyFill="1" applyAlignment="1" applyProtection="1">
      <alignment horizontal="right" vertical="top"/>
      <protection hidden="1"/>
    </xf>
    <xf numFmtId="0" fontId="11" fillId="0" borderId="79" xfId="2" applyFont="1" applyBorder="1" applyAlignment="1" applyProtection="1">
      <alignment horizontal="left" vertical="center"/>
      <protection hidden="1"/>
    </xf>
    <xf numFmtId="0" fontId="11" fillId="0" borderId="81" xfId="2" applyFont="1" applyBorder="1" applyAlignment="1" applyProtection="1">
      <alignment horizontal="left" vertical="center"/>
      <protection hidden="1"/>
    </xf>
    <xf numFmtId="0" fontId="11" fillId="0" borderId="99" xfId="2" applyFont="1" applyBorder="1" applyAlignment="1" applyProtection="1">
      <alignment horizontal="left" vertical="center"/>
      <protection hidden="1"/>
    </xf>
    <xf numFmtId="0" fontId="11" fillId="0" borderId="86" xfId="2" applyFont="1" applyBorder="1" applyAlignment="1" applyProtection="1">
      <alignment horizontal="left" vertical="center"/>
      <protection hidden="1"/>
    </xf>
    <xf numFmtId="0" fontId="49" fillId="2" borderId="88" xfId="2" applyFont="1" applyFill="1" applyBorder="1" applyAlignment="1" applyProtection="1">
      <alignment horizontal="left" vertical="center"/>
      <protection hidden="1"/>
    </xf>
    <xf numFmtId="0" fontId="11" fillId="0" borderId="104" xfId="2" applyFont="1" applyBorder="1" applyAlignment="1" applyProtection="1">
      <alignment horizontal="left" vertical="center"/>
      <protection hidden="1"/>
    </xf>
    <xf numFmtId="0" fontId="11" fillId="0" borderId="105" xfId="2" applyFont="1" applyBorder="1" applyAlignment="1" applyProtection="1">
      <alignment horizontal="left" vertical="center"/>
      <protection hidden="1"/>
    </xf>
    <xf numFmtId="0" fontId="49" fillId="2" borderId="89" xfId="2" applyFont="1" applyFill="1" applyBorder="1" applyAlignment="1" applyProtection="1">
      <alignment horizontal="left" vertical="center"/>
      <protection hidden="1"/>
    </xf>
    <xf numFmtId="0" fontId="49" fillId="2" borderId="80" xfId="2" applyFont="1" applyFill="1" applyBorder="1" applyAlignment="1" applyProtection="1">
      <alignment horizontal="right" vertical="center"/>
      <protection hidden="1"/>
    </xf>
    <xf numFmtId="0" fontId="49" fillId="2" borderId="81" xfId="2" applyFont="1" applyFill="1" applyBorder="1" applyAlignment="1" applyProtection="1">
      <alignment horizontal="right" vertical="center"/>
      <protection hidden="1"/>
    </xf>
    <xf numFmtId="0" fontId="48" fillId="0" borderId="0" xfId="2" applyFont="1" applyAlignment="1" applyProtection="1">
      <alignment horizontal="center"/>
      <protection hidden="1"/>
    </xf>
    <xf numFmtId="0" fontId="48" fillId="0" borderId="0" xfId="2" quotePrefix="1" applyFont="1" applyAlignment="1" applyProtection="1">
      <alignment horizontal="center"/>
      <protection hidden="1"/>
    </xf>
    <xf numFmtId="0" fontId="49" fillId="2" borderId="75" xfId="2" applyFont="1" applyFill="1" applyBorder="1" applyAlignment="1" applyProtection="1">
      <alignment horizontal="right" vertical="center"/>
      <protection hidden="1"/>
    </xf>
    <xf numFmtId="0" fontId="49" fillId="2" borderId="76" xfId="2" applyFont="1" applyFill="1" applyBorder="1" applyAlignment="1" applyProtection="1">
      <alignment horizontal="right" vertical="center"/>
      <protection hidden="1"/>
    </xf>
    <xf numFmtId="0" fontId="49" fillId="2" borderId="78" xfId="2" applyFont="1" applyFill="1" applyBorder="1" applyAlignment="1" applyProtection="1">
      <alignment horizontal="right" vertical="center"/>
      <protection hidden="1"/>
    </xf>
    <xf numFmtId="0" fontId="49" fillId="2" borderId="79" xfId="2" applyFont="1" applyFill="1" applyBorder="1" applyAlignment="1" applyProtection="1">
      <alignment horizontal="right" vertical="center"/>
      <protection hidden="1"/>
    </xf>
    <xf numFmtId="0" fontId="11" fillId="0" borderId="76" xfId="2" applyFont="1" applyBorder="1" applyAlignment="1" applyProtection="1">
      <alignment horizontal="left" vertical="center"/>
      <protection hidden="1"/>
    </xf>
    <xf numFmtId="0" fontId="11" fillId="0" borderId="85" xfId="2" applyFont="1" applyBorder="1" applyAlignment="1" applyProtection="1">
      <alignment horizontal="left" vertical="center"/>
      <protection hidden="1"/>
    </xf>
    <xf numFmtId="0" fontId="13" fillId="0" borderId="81" xfId="2" applyNumberFormat="1" applyFont="1" applyBorder="1" applyAlignment="1" applyProtection="1">
      <alignment horizontal="left" vertical="top" wrapText="1"/>
      <protection hidden="1"/>
    </xf>
    <xf numFmtId="0" fontId="13" fillId="0" borderId="79" xfId="2" applyNumberFormat="1" applyFont="1" applyBorder="1" applyAlignment="1" applyProtection="1">
      <alignment horizontal="left" vertical="top" wrapText="1"/>
      <protection hidden="1"/>
    </xf>
    <xf numFmtId="0" fontId="49" fillId="2" borderId="87" xfId="2" applyFont="1" applyFill="1" applyBorder="1" applyAlignment="1" applyProtection="1">
      <alignment horizontal="right" vertical="center"/>
      <protection hidden="1"/>
    </xf>
    <xf numFmtId="0" fontId="49" fillId="2" borderId="88" xfId="2" applyFont="1" applyFill="1" applyBorder="1" applyAlignment="1" applyProtection="1">
      <alignment horizontal="right" vertical="center"/>
      <protection hidden="1"/>
    </xf>
    <xf numFmtId="0" fontId="11" fillId="0" borderId="88" xfId="2" applyFont="1" applyBorder="1" applyAlignment="1" applyProtection="1">
      <alignment horizontal="left" vertical="center"/>
      <protection hidden="1"/>
    </xf>
    <xf numFmtId="0" fontId="11" fillId="0" borderId="89" xfId="2" applyFont="1" applyBorder="1" applyAlignment="1" applyProtection="1">
      <alignment horizontal="left" vertical="center"/>
      <protection hidden="1"/>
    </xf>
    <xf numFmtId="0" fontId="49" fillId="2" borderId="88" xfId="2" applyFont="1" applyFill="1" applyBorder="1" applyAlignment="1" applyProtection="1">
      <alignment horizontal="left" vertical="center" wrapText="1"/>
      <protection hidden="1"/>
    </xf>
    <xf numFmtId="0" fontId="13" fillId="0" borderId="104" xfId="2" applyNumberFormat="1" applyFont="1" applyBorder="1" applyAlignment="1" applyProtection="1">
      <alignment horizontal="left" vertical="top" wrapText="1"/>
      <protection hidden="1"/>
    </xf>
    <xf numFmtId="0" fontId="11" fillId="0" borderId="5" xfId="2" applyFont="1" applyBorder="1" applyAlignment="1" applyProtection="1">
      <alignment horizontal="left" vertical="center"/>
      <protection hidden="1"/>
    </xf>
    <xf numFmtId="0" fontId="13" fillId="0" borderId="5" xfId="2" applyNumberFormat="1" applyFont="1" applyBorder="1" applyAlignment="1" applyProtection="1">
      <alignment horizontal="left" vertical="top" wrapText="1"/>
      <protection hidden="1"/>
    </xf>
    <xf numFmtId="0" fontId="11" fillId="0" borderId="8" xfId="2" applyFont="1" applyBorder="1" applyAlignment="1" applyProtection="1">
      <alignment horizontal="left" vertical="center"/>
      <protection hidden="1"/>
    </xf>
    <xf numFmtId="0" fontId="13" fillId="0" borderId="8" xfId="2" applyNumberFormat="1" applyFont="1" applyBorder="1" applyAlignment="1" applyProtection="1">
      <alignment horizontal="left" vertical="top" wrapText="1"/>
      <protection hidden="1"/>
    </xf>
    <xf numFmtId="0" fontId="49" fillId="2" borderId="45" xfId="2" applyFont="1" applyFill="1" applyBorder="1" applyAlignment="1" applyProtection="1">
      <alignment horizontal="right" vertical="center"/>
      <protection hidden="1"/>
    </xf>
    <xf numFmtId="0" fontId="49" fillId="2" borderId="44" xfId="2" applyFont="1" applyFill="1" applyBorder="1" applyAlignment="1" applyProtection="1">
      <alignment horizontal="right" vertical="center"/>
      <protection hidden="1"/>
    </xf>
    <xf numFmtId="0" fontId="49" fillId="2" borderId="42" xfId="2" applyFont="1" applyFill="1" applyBorder="1" applyAlignment="1" applyProtection="1">
      <alignment horizontal="right" vertical="center"/>
      <protection hidden="1"/>
    </xf>
    <xf numFmtId="0" fontId="11" fillId="0" borderId="43" xfId="2" applyFont="1" applyBorder="1" applyAlignment="1" applyProtection="1">
      <alignment horizontal="left" vertical="center"/>
      <protection hidden="1"/>
    </xf>
    <xf numFmtId="0" fontId="11" fillId="0" borderId="44" xfId="2" applyFont="1" applyBorder="1" applyAlignment="1" applyProtection="1">
      <alignment horizontal="left" vertical="center"/>
      <protection hidden="1"/>
    </xf>
    <xf numFmtId="0" fontId="11" fillId="0" borderId="37" xfId="2" applyFont="1" applyBorder="1" applyAlignment="1" applyProtection="1">
      <alignment horizontal="left" vertical="center"/>
      <protection hidden="1"/>
    </xf>
    <xf numFmtId="0" fontId="49" fillId="2" borderId="35" xfId="2" applyFont="1" applyFill="1" applyBorder="1" applyAlignment="1" applyProtection="1">
      <alignment horizontal="left" vertical="center" wrapText="1"/>
      <protection hidden="1"/>
    </xf>
    <xf numFmtId="0" fontId="11" fillId="0" borderId="2" xfId="2" applyFont="1" applyBorder="1" applyAlignment="1" applyProtection="1">
      <alignment horizontal="left" vertical="center"/>
      <protection hidden="1"/>
    </xf>
    <xf numFmtId="0" fontId="13" fillId="0" borderId="2" xfId="2" applyNumberFormat="1" applyFont="1" applyBorder="1" applyAlignment="1" applyProtection="1">
      <alignment horizontal="left" vertical="top" wrapText="1"/>
      <protection hidden="1"/>
    </xf>
    <xf numFmtId="0" fontId="48" fillId="2" borderId="87" xfId="2" applyFont="1" applyFill="1" applyBorder="1" applyAlignment="1" applyProtection="1">
      <alignment horizontal="right" vertical="center"/>
      <protection hidden="1"/>
    </xf>
    <xf numFmtId="0" fontId="48" fillId="2" borderId="88" xfId="2" applyFont="1" applyFill="1" applyBorder="1" applyAlignment="1" applyProtection="1">
      <alignment horizontal="right" vertical="center"/>
      <protection hidden="1"/>
    </xf>
    <xf numFmtId="0" fontId="16" fillId="0" borderId="88" xfId="2" applyFont="1" applyBorder="1" applyAlignment="1" applyProtection="1">
      <alignment horizontal="left" vertical="center"/>
      <protection hidden="1"/>
    </xf>
    <xf numFmtId="0" fontId="16" fillId="0" borderId="89" xfId="2" applyFont="1" applyBorder="1" applyAlignment="1" applyProtection="1">
      <alignment horizontal="left" vertical="center"/>
      <protection hidden="1"/>
    </xf>
    <xf numFmtId="0" fontId="51" fillId="0" borderId="0" xfId="2" applyFont="1" applyAlignment="1" applyProtection="1">
      <alignment horizontal="center"/>
      <protection hidden="1"/>
    </xf>
    <xf numFmtId="0" fontId="0" fillId="0" borderId="7" xfId="0" applyBorder="1" applyAlignment="1" applyProtection="1">
      <alignment horizontal="left"/>
    </xf>
    <xf numFmtId="0" fontId="0" fillId="0" borderId="8" xfId="0" applyBorder="1" applyAlignment="1" applyProtection="1">
      <alignment horizontal="left"/>
    </xf>
    <xf numFmtId="0" fontId="0" fillId="0" borderId="34" xfId="0" applyBorder="1" applyAlignment="1" applyProtection="1">
      <alignment horizontal="left"/>
    </xf>
    <xf numFmtId="0" fontId="0" fillId="0" borderId="0" xfId="0" applyBorder="1" applyAlignment="1" applyProtection="1">
      <alignment horizontal="center"/>
    </xf>
    <xf numFmtId="0" fontId="0" fillId="0" borderId="0" xfId="0" applyAlignment="1" applyProtection="1">
      <alignment horizontal="center"/>
    </xf>
    <xf numFmtId="0" fontId="7" fillId="2" borderId="20" xfId="0" applyFont="1" applyFill="1" applyBorder="1" applyAlignment="1" applyProtection="1">
      <alignment horizontal="left"/>
    </xf>
    <xf numFmtId="0" fontId="7" fillId="2" borderId="27" xfId="0" applyFont="1" applyFill="1" applyBorder="1" applyAlignment="1" applyProtection="1">
      <alignment horizontal="left"/>
    </xf>
    <xf numFmtId="0" fontId="7" fillId="2" borderId="28" xfId="0" applyFont="1" applyFill="1" applyBorder="1" applyAlignment="1" applyProtection="1">
      <alignment horizontal="left"/>
    </xf>
    <xf numFmtId="0" fontId="22" fillId="0" borderId="54" xfId="0" applyFont="1" applyBorder="1" applyAlignment="1" applyProtection="1">
      <alignment horizontal="left" vertical="top" wrapText="1"/>
    </xf>
    <xf numFmtId="0" fontId="22" fillId="0" borderId="14" xfId="0" applyFont="1" applyBorder="1" applyAlignment="1" applyProtection="1">
      <alignment horizontal="left" vertical="top" wrapText="1"/>
    </xf>
    <xf numFmtId="0" fontId="22" fillId="0" borderId="56" xfId="0" applyFont="1" applyBorder="1" applyAlignment="1" applyProtection="1">
      <alignment horizontal="left" vertical="top" wrapText="1"/>
    </xf>
    <xf numFmtId="0" fontId="22" fillId="0" borderId="55" xfId="0" applyFont="1" applyBorder="1" applyAlignment="1" applyProtection="1">
      <alignment horizontal="left" vertical="top" wrapText="1"/>
    </xf>
    <xf numFmtId="0" fontId="22" fillId="0" borderId="0" xfId="0" applyFont="1" applyBorder="1" applyAlignment="1" applyProtection="1">
      <alignment horizontal="left" vertical="top" wrapText="1"/>
    </xf>
    <xf numFmtId="0" fontId="22" fillId="0" borderId="57" xfId="0" applyFont="1" applyBorder="1" applyAlignment="1" applyProtection="1">
      <alignment horizontal="left" vertical="top" wrapText="1"/>
    </xf>
    <xf numFmtId="0" fontId="22" fillId="0" borderId="15" xfId="0" applyFont="1" applyBorder="1" applyAlignment="1" applyProtection="1">
      <alignment horizontal="left" vertical="top" wrapText="1"/>
    </xf>
    <xf numFmtId="0" fontId="22" fillId="0" borderId="47" xfId="0" applyFont="1" applyBorder="1" applyAlignment="1" applyProtection="1">
      <alignment horizontal="left" vertical="top" wrapText="1"/>
    </xf>
    <xf numFmtId="0" fontId="22" fillId="0" borderId="48" xfId="0" applyFont="1" applyBorder="1" applyAlignment="1" applyProtection="1">
      <alignment horizontal="left" vertical="top" wrapText="1"/>
    </xf>
    <xf numFmtId="0" fontId="7" fillId="2" borderId="5" xfId="0" applyFont="1" applyFill="1" applyBorder="1" applyAlignment="1" applyProtection="1">
      <alignment horizontal="right"/>
    </xf>
    <xf numFmtId="0" fontId="0" fillId="0" borderId="21" xfId="0" applyFill="1" applyBorder="1" applyAlignment="1" applyProtection="1">
      <alignment horizontal="center"/>
    </xf>
    <xf numFmtId="0" fontId="0" fillId="0" borderId="11" xfId="0" applyFill="1" applyBorder="1" applyAlignment="1" applyProtection="1">
      <alignment horizontal="center"/>
    </xf>
    <xf numFmtId="0" fontId="0" fillId="8" borderId="5" xfId="0" applyFill="1" applyBorder="1" applyAlignment="1" applyProtection="1">
      <alignment horizontal="left"/>
      <protection locked="0"/>
    </xf>
    <xf numFmtId="0" fontId="0" fillId="0" borderId="61" xfId="0" applyBorder="1" applyAlignment="1" applyProtection="1">
      <alignment horizontal="left"/>
    </xf>
    <xf numFmtId="0" fontId="0" fillId="0" borderId="62" xfId="0" applyBorder="1" applyAlignment="1" applyProtection="1">
      <alignment horizontal="left"/>
    </xf>
    <xf numFmtId="0" fontId="2" fillId="0" borderId="61" xfId="0" applyFont="1" applyBorder="1" applyAlignment="1" applyProtection="1">
      <alignment horizontal="right"/>
    </xf>
    <xf numFmtId="0" fontId="2" fillId="0" borderId="62" xfId="0" applyFont="1" applyBorder="1" applyAlignment="1" applyProtection="1">
      <alignment horizontal="right"/>
    </xf>
    <xf numFmtId="0" fontId="2" fillId="0" borderId="52" xfId="0" applyFont="1" applyBorder="1" applyAlignment="1" applyProtection="1">
      <alignment horizontal="right"/>
    </xf>
    <xf numFmtId="0" fontId="2" fillId="0" borderId="13" xfId="0" applyFont="1" applyBorder="1" applyAlignment="1" applyProtection="1">
      <alignment horizontal="right"/>
    </xf>
    <xf numFmtId="0" fontId="3" fillId="12" borderId="60" xfId="0" applyFont="1" applyFill="1" applyBorder="1" applyAlignment="1" applyProtection="1">
      <alignment horizontal="center"/>
    </xf>
    <xf numFmtId="0" fontId="7" fillId="12" borderId="61" xfId="0" applyFont="1" applyFill="1" applyBorder="1" applyAlignment="1" applyProtection="1">
      <alignment horizontal="center"/>
    </xf>
    <xf numFmtId="0" fontId="7" fillId="12" borderId="62" xfId="0" applyFont="1" applyFill="1" applyBorder="1" applyAlignment="1" applyProtection="1">
      <alignment horizontal="center"/>
    </xf>
    <xf numFmtId="0" fontId="3" fillId="11" borderId="5" xfId="0" applyFont="1" applyFill="1" applyBorder="1" applyAlignment="1" applyProtection="1">
      <alignment horizontal="center"/>
    </xf>
    <xf numFmtId="0" fontId="0" fillId="0" borderId="53" xfId="0" applyBorder="1" applyAlignment="1" applyProtection="1">
      <alignment horizontal="left"/>
    </xf>
    <xf numFmtId="0" fontId="0" fillId="0" borderId="51" xfId="0" applyBorder="1" applyAlignment="1" applyProtection="1">
      <alignment horizontal="left"/>
    </xf>
    <xf numFmtId="0" fontId="0" fillId="0" borderId="65" xfId="0" applyBorder="1" applyAlignment="1" applyProtection="1">
      <alignment horizontal="left"/>
    </xf>
    <xf numFmtId="0" fontId="0" fillId="0" borderId="66" xfId="0" applyBorder="1" applyAlignment="1" applyProtection="1">
      <alignment horizontal="left"/>
    </xf>
    <xf numFmtId="0" fontId="0" fillId="0" borderId="67" xfId="0" applyBorder="1" applyAlignment="1" applyProtection="1">
      <alignment horizontal="left"/>
    </xf>
    <xf numFmtId="0" fontId="0" fillId="0" borderId="68" xfId="0" applyBorder="1" applyAlignment="1" applyProtection="1">
      <alignment horizontal="left"/>
    </xf>
    <xf numFmtId="0" fontId="3" fillId="13" borderId="12" xfId="0" applyFont="1" applyFill="1" applyBorder="1" applyAlignment="1" applyProtection="1">
      <alignment horizontal="center"/>
    </xf>
    <xf numFmtId="0" fontId="3" fillId="13" borderId="21" xfId="0" applyFont="1" applyFill="1" applyBorder="1" applyAlignment="1" applyProtection="1">
      <alignment horizontal="center"/>
    </xf>
    <xf numFmtId="0" fontId="3" fillId="13" borderId="11" xfId="0" applyFont="1" applyFill="1" applyBorder="1" applyAlignment="1" applyProtection="1">
      <alignment horizontal="center"/>
    </xf>
    <xf numFmtId="0" fontId="3" fillId="12" borderId="5" xfId="0" applyFont="1" applyFill="1" applyBorder="1" applyAlignment="1" applyProtection="1">
      <alignment horizontal="center"/>
    </xf>
    <xf numFmtId="0" fontId="7" fillId="12" borderId="12" xfId="0" applyFont="1" applyFill="1" applyBorder="1" applyAlignment="1" applyProtection="1">
      <alignment horizontal="center"/>
    </xf>
    <xf numFmtId="0" fontId="7" fillId="12" borderId="11" xfId="0" applyFont="1" applyFill="1" applyBorder="1" applyAlignment="1" applyProtection="1">
      <alignment horizontal="center"/>
    </xf>
    <xf numFmtId="0" fontId="0" fillId="0" borderId="5" xfId="0" applyBorder="1" applyAlignment="1" applyProtection="1">
      <alignment horizontal="left"/>
    </xf>
    <xf numFmtId="0" fontId="3" fillId="2" borderId="5" xfId="0" applyFont="1" applyFill="1" applyBorder="1" applyAlignment="1" applyProtection="1">
      <alignment horizontal="center"/>
    </xf>
    <xf numFmtId="0" fontId="36" fillId="2" borderId="20" xfId="0" applyFont="1" applyFill="1" applyBorder="1" applyAlignment="1" applyProtection="1">
      <alignment horizontal="left"/>
    </xf>
    <xf numFmtId="0" fontId="36" fillId="2" borderId="27" xfId="0" applyFont="1" applyFill="1" applyBorder="1" applyAlignment="1" applyProtection="1">
      <alignment horizontal="left"/>
    </xf>
    <xf numFmtId="0" fontId="36" fillId="2" borderId="28" xfId="0" applyFont="1" applyFill="1" applyBorder="1" applyAlignment="1" applyProtection="1">
      <alignment horizontal="left"/>
    </xf>
    <xf numFmtId="0" fontId="0" fillId="0" borderId="4" xfId="0" applyBorder="1" applyAlignment="1" applyProtection="1">
      <alignment horizontal="left"/>
    </xf>
    <xf numFmtId="0" fontId="0" fillId="0" borderId="12" xfId="0" applyBorder="1" applyAlignment="1" applyProtection="1">
      <alignment horizontal="left"/>
    </xf>
    <xf numFmtId="0" fontId="0" fillId="0" borderId="2" xfId="0" applyBorder="1" applyAlignment="1" applyProtection="1">
      <alignment horizontal="left"/>
    </xf>
    <xf numFmtId="0" fontId="0" fillId="0" borderId="24" xfId="0" applyBorder="1" applyAlignment="1" applyProtection="1">
      <alignment horizontal="left"/>
    </xf>
    <xf numFmtId="0" fontId="7" fillId="11" borderId="5" xfId="0" applyFont="1" applyFill="1" applyBorder="1" applyAlignment="1" applyProtection="1">
      <alignment horizontal="left"/>
    </xf>
    <xf numFmtId="0" fontId="7" fillId="11" borderId="5" xfId="0" applyFont="1" applyFill="1" applyBorder="1" applyAlignment="1" applyProtection="1">
      <alignment horizontal="center"/>
    </xf>
    <xf numFmtId="0" fontId="0" fillId="0" borderId="11" xfId="0" applyBorder="1" applyAlignment="1" applyProtection="1">
      <alignment horizontal="left"/>
    </xf>
    <xf numFmtId="0" fontId="2" fillId="0" borderId="12" xfId="0" applyFont="1" applyBorder="1" applyAlignment="1" applyProtection="1">
      <alignment horizontal="right"/>
    </xf>
    <xf numFmtId="0" fontId="2" fillId="0" borderId="11" xfId="0" applyFont="1" applyBorder="1" applyAlignment="1" applyProtection="1">
      <alignment horizontal="right"/>
    </xf>
    <xf numFmtId="0" fontId="37" fillId="17" borderId="5" xfId="0" applyFont="1" applyFill="1" applyBorder="1" applyAlignment="1" applyProtection="1">
      <alignment horizontal="center"/>
    </xf>
    <xf numFmtId="164" fontId="0" fillId="0" borderId="12" xfId="0" applyNumberFormat="1" applyBorder="1" applyAlignment="1" applyProtection="1">
      <alignment horizontal="right"/>
    </xf>
    <xf numFmtId="164" fontId="0" fillId="0" borderId="11" xfId="0" applyNumberFormat="1" applyBorder="1" applyAlignment="1" applyProtection="1">
      <alignment horizontal="right"/>
    </xf>
    <xf numFmtId="0" fontId="0" fillId="0" borderId="12" xfId="0" applyBorder="1" applyAlignment="1" applyProtection="1">
      <alignment horizontal="center"/>
    </xf>
    <xf numFmtId="0" fontId="0" fillId="0" borderId="21" xfId="0" applyBorder="1" applyAlignment="1" applyProtection="1">
      <alignment horizontal="center"/>
    </xf>
    <xf numFmtId="0" fontId="0" fillId="0" borderId="11" xfId="0" applyBorder="1" applyAlignment="1" applyProtection="1">
      <alignment horizontal="center"/>
    </xf>
    <xf numFmtId="0" fontId="3" fillId="2" borderId="40" xfId="0" applyFont="1" applyFill="1" applyBorder="1" applyAlignment="1" applyProtection="1">
      <alignment horizontal="center" vertical="center"/>
    </xf>
    <xf numFmtId="0" fontId="3" fillId="2" borderId="58" xfId="0" applyFont="1" applyFill="1" applyBorder="1" applyAlignment="1" applyProtection="1">
      <alignment horizontal="center" vertical="center"/>
    </xf>
    <xf numFmtId="0" fontId="3" fillId="2" borderId="55" xfId="0" applyFont="1" applyFill="1" applyBorder="1" applyAlignment="1" applyProtection="1">
      <alignment horizontal="center" vertical="center"/>
    </xf>
    <xf numFmtId="0" fontId="3" fillId="2" borderId="0" xfId="0" applyFont="1" applyFill="1" applyBorder="1" applyAlignment="1" applyProtection="1">
      <alignment horizontal="center" vertical="center"/>
    </xf>
    <xf numFmtId="0" fontId="52" fillId="0" borderId="12" xfId="0" applyFont="1" applyBorder="1" applyAlignment="1">
      <alignment horizontal="left"/>
    </xf>
    <xf numFmtId="0" fontId="52" fillId="0" borderId="21" xfId="0" applyFont="1" applyBorder="1" applyAlignment="1">
      <alignment horizontal="left"/>
    </xf>
    <xf numFmtId="0" fontId="0" fillId="17" borderId="5" xfId="0" applyFill="1" applyBorder="1" applyAlignment="1" applyProtection="1">
      <alignment horizontal="center"/>
    </xf>
    <xf numFmtId="0" fontId="22" fillId="0" borderId="33" xfId="0" applyFont="1" applyBorder="1" applyAlignment="1" applyProtection="1">
      <alignment horizontal="left" vertical="top" wrapText="1"/>
      <protection locked="0"/>
    </xf>
    <xf numFmtId="0" fontId="22" fillId="0" borderId="21" xfId="0" applyFont="1" applyBorder="1" applyAlignment="1" applyProtection="1">
      <alignment horizontal="left" vertical="top" wrapText="1"/>
      <protection locked="0"/>
    </xf>
    <xf numFmtId="0" fontId="22" fillId="0" borderId="72" xfId="0" applyFont="1" applyBorder="1" applyAlignment="1" applyProtection="1">
      <alignment horizontal="left" vertical="top" wrapText="1"/>
      <protection locked="0"/>
    </xf>
    <xf numFmtId="0" fontId="22" fillId="0" borderId="31" xfId="0" applyFont="1" applyBorder="1" applyAlignment="1" applyProtection="1">
      <alignment horizontal="left" vertical="top" wrapText="1"/>
      <protection locked="0"/>
    </xf>
    <xf numFmtId="0" fontId="22" fillId="0" borderId="41" xfId="0" applyFont="1" applyBorder="1" applyAlignment="1" applyProtection="1">
      <alignment horizontal="left" vertical="top" wrapText="1"/>
      <protection locked="0"/>
    </xf>
    <xf numFmtId="0" fontId="22" fillId="0" borderId="38" xfId="0" applyFont="1" applyBorder="1" applyAlignment="1" applyProtection="1">
      <alignment horizontal="left" vertical="top" wrapText="1"/>
      <protection locked="0"/>
    </xf>
    <xf numFmtId="0" fontId="3" fillId="2" borderId="22" xfId="0" applyFont="1" applyFill="1" applyBorder="1" applyAlignment="1" applyProtection="1">
      <alignment horizontal="center" vertical="center"/>
    </xf>
    <xf numFmtId="0" fontId="3" fillId="2" borderId="3" xfId="0" applyFont="1" applyFill="1" applyBorder="1" applyAlignment="1" applyProtection="1">
      <alignment horizontal="center" vertical="center"/>
    </xf>
    <xf numFmtId="0" fontId="3" fillId="2" borderId="29" xfId="0" applyFont="1" applyFill="1" applyBorder="1" applyAlignment="1" applyProtection="1">
      <alignment horizontal="center" vertical="center"/>
    </xf>
    <xf numFmtId="0" fontId="3" fillId="2" borderId="73" xfId="0" applyFont="1" applyFill="1" applyBorder="1" applyAlignment="1" applyProtection="1">
      <alignment horizontal="center" vertical="center"/>
    </xf>
    <xf numFmtId="0" fontId="3" fillId="2" borderId="59" xfId="0" applyFont="1" applyFill="1" applyBorder="1" applyAlignment="1" applyProtection="1">
      <alignment horizontal="center" vertical="center"/>
    </xf>
    <xf numFmtId="0" fontId="3" fillId="2" borderId="57" xfId="0" applyFont="1" applyFill="1" applyBorder="1" applyAlignment="1" applyProtection="1">
      <alignment horizontal="center" vertical="center"/>
    </xf>
    <xf numFmtId="0" fontId="3" fillId="2" borderId="1" xfId="0" applyFont="1" applyFill="1" applyBorder="1" applyAlignment="1" applyProtection="1">
      <alignment horizontal="center" vertical="center"/>
    </xf>
    <xf numFmtId="0" fontId="7" fillId="11" borderId="12" xfId="0" applyFont="1" applyFill="1" applyBorder="1" applyAlignment="1" applyProtection="1">
      <alignment horizontal="center"/>
    </xf>
    <xf numFmtId="0" fontId="7" fillId="11" borderId="11" xfId="0" applyFont="1" applyFill="1" applyBorder="1" applyAlignment="1" applyProtection="1">
      <alignment horizontal="center"/>
    </xf>
    <xf numFmtId="0" fontId="42" fillId="0" borderId="0" xfId="0" applyFont="1" applyBorder="1" applyAlignment="1" applyProtection="1">
      <alignment horizontal="center" wrapText="1"/>
      <protection hidden="1"/>
    </xf>
    <xf numFmtId="0" fontId="46" fillId="0" borderId="0" xfId="0" applyFont="1" applyBorder="1" applyAlignment="1" applyProtection="1">
      <alignment horizontal="center"/>
      <protection hidden="1"/>
    </xf>
    <xf numFmtId="0" fontId="43" fillId="0" borderId="119" xfId="0" applyFont="1" applyBorder="1" applyAlignment="1" applyProtection="1">
      <alignment horizontal="center"/>
      <protection hidden="1"/>
    </xf>
    <xf numFmtId="0" fontId="42" fillId="0" borderId="87" xfId="0" applyFont="1" applyBorder="1" applyAlignment="1" applyProtection="1">
      <alignment horizontal="right" vertical="center"/>
      <protection hidden="1"/>
    </xf>
    <xf numFmtId="0" fontId="42" fillId="0" borderId="88" xfId="0" applyFont="1" applyBorder="1" applyAlignment="1" applyProtection="1">
      <alignment horizontal="right" vertical="center"/>
      <protection hidden="1"/>
    </xf>
    <xf numFmtId="0" fontId="42" fillId="2" borderId="90" xfId="0" applyFont="1" applyFill="1" applyBorder="1" applyAlignment="1" applyProtection="1">
      <alignment horizontal="left"/>
      <protection hidden="1"/>
    </xf>
    <xf numFmtId="0" fontId="42" fillId="2" borderId="91" xfId="0" applyFont="1" applyFill="1" applyBorder="1" applyAlignment="1" applyProtection="1">
      <alignment horizontal="left"/>
      <protection hidden="1"/>
    </xf>
    <xf numFmtId="0" fontId="42" fillId="2" borderId="92" xfId="0" applyFont="1" applyFill="1" applyBorder="1" applyAlignment="1" applyProtection="1">
      <alignment horizontal="left"/>
      <protection hidden="1"/>
    </xf>
    <xf numFmtId="0" fontId="16" fillId="0" borderId="106" xfId="0" applyFont="1" applyBorder="1" applyAlignment="1" applyProtection="1">
      <alignment horizontal="left" vertical="center"/>
      <protection hidden="1"/>
    </xf>
    <xf numFmtId="0" fontId="16" fillId="0" borderId="108" xfId="0" applyFont="1" applyBorder="1" applyAlignment="1" applyProtection="1">
      <alignment horizontal="left" vertical="center"/>
      <protection hidden="1"/>
    </xf>
    <xf numFmtId="0" fontId="16" fillId="0" borderId="75" xfId="0" applyFont="1" applyFill="1" applyBorder="1" applyAlignment="1" applyProtection="1">
      <alignment horizontal="left" vertical="center"/>
      <protection hidden="1"/>
    </xf>
    <xf numFmtId="0" fontId="16" fillId="0" borderId="76" xfId="0" applyFont="1" applyFill="1" applyBorder="1" applyAlignment="1" applyProtection="1">
      <alignment horizontal="left" vertical="center"/>
      <protection hidden="1"/>
    </xf>
    <xf numFmtId="0" fontId="42" fillId="2" borderId="87" xfId="0" applyFont="1" applyFill="1" applyBorder="1" applyAlignment="1" applyProtection="1">
      <alignment horizontal="left"/>
      <protection hidden="1"/>
    </xf>
    <xf numFmtId="0" fontId="42" fillId="2" borderId="89" xfId="0" applyFont="1" applyFill="1" applyBorder="1" applyAlignment="1" applyProtection="1">
      <alignment horizontal="left"/>
      <protection hidden="1"/>
    </xf>
    <xf numFmtId="0" fontId="16" fillId="0" borderId="106" xfId="0" applyFont="1" applyFill="1" applyBorder="1" applyAlignment="1" applyProtection="1">
      <alignment horizontal="left" vertical="center"/>
      <protection hidden="1"/>
    </xf>
    <xf numFmtId="0" fontId="16" fillId="0" borderId="107" xfId="0" applyFont="1" applyFill="1" applyBorder="1" applyAlignment="1" applyProtection="1">
      <alignment horizontal="left" vertical="center"/>
      <protection hidden="1"/>
    </xf>
    <xf numFmtId="0" fontId="0" fillId="0" borderId="0" xfId="0" applyAlignment="1" applyProtection="1">
      <alignment horizontal="center"/>
      <protection hidden="1"/>
    </xf>
    <xf numFmtId="0" fontId="16" fillId="0" borderId="103" xfId="0" applyFont="1" applyBorder="1" applyAlignment="1" applyProtection="1">
      <alignment horizontal="left" vertical="center"/>
      <protection hidden="1"/>
    </xf>
    <xf numFmtId="0" fontId="16" fillId="0" borderId="105" xfId="0" applyFont="1" applyBorder="1" applyAlignment="1" applyProtection="1">
      <alignment horizontal="left" vertical="center"/>
      <protection hidden="1"/>
    </xf>
    <xf numFmtId="0" fontId="16" fillId="0" borderId="78" xfId="0" applyFont="1" applyBorder="1" applyAlignment="1" applyProtection="1">
      <alignment horizontal="left" vertical="center"/>
      <protection hidden="1"/>
    </xf>
    <xf numFmtId="0" fontId="16" fillId="0" borderId="99" xfId="0" applyFont="1" applyBorder="1" applyAlignment="1" applyProtection="1">
      <alignment horizontal="left" vertical="center"/>
      <protection hidden="1"/>
    </xf>
    <xf numFmtId="0" fontId="0" fillId="0" borderId="96" xfId="0" applyBorder="1" applyAlignment="1" applyProtection="1">
      <alignment horizontal="left"/>
      <protection hidden="1"/>
    </xf>
    <xf numFmtId="0" fontId="0" fillId="0" borderId="97" xfId="0" applyBorder="1" applyAlignment="1" applyProtection="1">
      <alignment horizontal="left"/>
      <protection hidden="1"/>
    </xf>
    <xf numFmtId="0" fontId="0" fillId="0" borderId="98" xfId="0" applyBorder="1" applyAlignment="1" applyProtection="1">
      <alignment horizontal="left"/>
      <protection hidden="1"/>
    </xf>
    <xf numFmtId="173" fontId="0" fillId="0" borderId="0" xfId="0" applyNumberFormat="1" applyBorder="1" applyAlignment="1" applyProtection="1">
      <alignment horizontal="left"/>
      <protection hidden="1"/>
    </xf>
    <xf numFmtId="0" fontId="42" fillId="0" borderId="89" xfId="0" applyFont="1" applyBorder="1" applyAlignment="1" applyProtection="1">
      <alignment horizontal="right" vertical="center"/>
      <protection hidden="1"/>
    </xf>
    <xf numFmtId="0" fontId="3" fillId="0" borderId="0" xfId="0" applyFont="1" applyBorder="1" applyAlignment="1" applyProtection="1">
      <alignment horizontal="center" vertical="top"/>
      <protection hidden="1"/>
    </xf>
    <xf numFmtId="0" fontId="13" fillId="0" borderId="0" xfId="0" applyFont="1" applyBorder="1" applyAlignment="1">
      <alignment horizontal="center"/>
    </xf>
    <xf numFmtId="0" fontId="22" fillId="0" borderId="0" xfId="0" applyFont="1" applyAlignment="1">
      <alignment horizontal="left" vertical="top" wrapText="1"/>
    </xf>
    <xf numFmtId="0" fontId="53" fillId="0" borderId="0" xfId="0" applyFont="1" applyAlignment="1">
      <alignment horizontal="left"/>
    </xf>
    <xf numFmtId="0" fontId="0" fillId="0" borderId="0" xfId="0" applyAlignment="1">
      <alignment horizontal="left"/>
    </xf>
    <xf numFmtId="0" fontId="0" fillId="0" borderId="79" xfId="0" applyBorder="1" applyAlignment="1">
      <alignment horizontal="left" vertical="center"/>
    </xf>
    <xf numFmtId="0" fontId="29" fillId="0" borderId="0" xfId="0" applyFont="1" applyBorder="1" applyAlignment="1">
      <alignment horizontal="left" vertical="top"/>
    </xf>
    <xf numFmtId="0" fontId="0" fillId="0" borderId="81" xfId="0" applyBorder="1" applyAlignment="1" applyProtection="1">
      <alignment horizontal="left" vertical="center"/>
      <protection locked="0"/>
    </xf>
    <xf numFmtId="0" fontId="42" fillId="0" borderId="0" xfId="0" applyFont="1" applyBorder="1" applyAlignment="1">
      <alignment horizontal="right" indent="1"/>
    </xf>
    <xf numFmtId="0" fontId="0" fillId="0" borderId="79" xfId="0" applyBorder="1" applyAlignment="1" applyProtection="1">
      <alignment horizontal="left" vertical="center"/>
      <protection locked="0"/>
    </xf>
    <xf numFmtId="0" fontId="42" fillId="2" borderId="88" xfId="0" applyFont="1" applyFill="1" applyBorder="1" applyAlignment="1">
      <alignment horizontal="left" wrapText="1"/>
    </xf>
    <xf numFmtId="0" fontId="0" fillId="0" borderId="104" xfId="0" applyBorder="1" applyAlignment="1">
      <alignment horizontal="left" vertical="center"/>
    </xf>
    <xf numFmtId="0" fontId="54" fillId="0" borderId="0" xfId="0" applyFont="1" applyAlignment="1">
      <alignment horizontal="right"/>
    </xf>
    <xf numFmtId="0" fontId="42" fillId="2" borderId="76" xfId="0" applyFont="1" applyFill="1" applyBorder="1" applyAlignment="1">
      <alignment horizontal="left" wrapText="1"/>
    </xf>
    <xf numFmtId="0" fontId="0" fillId="0" borderId="104" xfId="0" applyBorder="1" applyAlignment="1" applyProtection="1">
      <alignment horizontal="left" vertical="center"/>
      <protection locked="0"/>
    </xf>
    <xf numFmtId="0" fontId="2" fillId="0" borderId="0" xfId="0" applyFont="1" applyAlignment="1">
      <alignment horizontal="center"/>
    </xf>
    <xf numFmtId="0" fontId="10" fillId="0" borderId="0" xfId="0" applyFont="1" applyAlignment="1">
      <alignment horizontal="center" wrapText="1"/>
    </xf>
    <xf numFmtId="0" fontId="27" fillId="0" borderId="0" xfId="0" applyFont="1" applyAlignment="1">
      <alignment horizontal="center" wrapText="1"/>
    </xf>
    <xf numFmtId="0" fontId="3" fillId="0" borderId="0" xfId="0" applyFont="1" applyAlignment="1">
      <alignment horizontal="center"/>
    </xf>
    <xf numFmtId="0" fontId="2" fillId="0" borderId="0" xfId="0" applyFont="1" applyAlignment="1">
      <alignment horizontal="left"/>
    </xf>
  </cellXfs>
  <cellStyles count="11">
    <cellStyle name="Besuchter Hyperlink" xfId="3" builtinId="9" hidden="1"/>
    <cellStyle name="Besuchter Hyperlink" xfId="4" builtinId="9" hidden="1"/>
    <cellStyle name="Besuchter Hyperlink" xfId="5" builtinId="9" hidden="1"/>
    <cellStyle name="Besuchter Hyperlink" xfId="6" builtinId="9" hidden="1"/>
    <cellStyle name="Besuchter Hyperlink" xfId="7" builtinId="9" hidden="1"/>
    <cellStyle name="Besuchter Hyperlink" xfId="8" builtinId="9" hidden="1"/>
    <cellStyle name="Besuchter Hyperlink" xfId="9" builtinId="9" hidden="1"/>
    <cellStyle name="Besuchter Hyperlink" xfId="10" builtinId="9" hidden="1"/>
    <cellStyle name="Link" xfId="1" builtinId="8"/>
    <cellStyle name="Stand. 2" xfId="2" xr:uid="{00000000-0005-0000-0000-000009000000}"/>
    <cellStyle name="Standard" xfId="0" builtinId="0"/>
  </cellStyles>
  <dxfs count="235"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</dxf>
    <dxf>
      <numFmt numFmtId="0" formatCode="General"/>
    </dxf>
    <dxf>
      <numFmt numFmtId="166" formatCode="#,##0\ &quot;€&quot;"/>
    </dxf>
    <dxf>
      <numFmt numFmtId="0" formatCode="General"/>
    </dxf>
    <dxf>
      <numFmt numFmtId="166" formatCode="#,##0\ &quot;€&quot;"/>
    </dxf>
    <dxf>
      <numFmt numFmtId="166" formatCode="#,##0\ &quot;€&quot;"/>
    </dxf>
    <dxf>
      <numFmt numFmtId="165" formatCode="mmm\ [$-809]dd;@"/>
    </dxf>
    <dxf>
      <numFmt numFmtId="165" formatCode="mmm\ [$-809]dd;@"/>
    </dxf>
    <dxf>
      <numFmt numFmtId="0" formatCode="General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9C0006"/>
      </font>
      <fill>
        <patternFill>
          <bgColor rgb="FFFFC7CE"/>
        </patternFill>
      </fill>
    </dxf>
    <dxf>
      <border diagonalUp="0" diagonalDown="0">
        <left style="thin">
          <color rgb="FF145A99"/>
        </left>
        <right style="thin">
          <color rgb="FF145A99"/>
        </right>
        <top/>
        <bottom/>
        <vertical/>
        <horizontal/>
      </border>
      <protection locked="1" hidden="1"/>
    </dxf>
    <dxf>
      <border diagonalUp="0" diagonalDown="0">
        <left style="thin">
          <color rgb="FF145A99"/>
        </left>
        <right style="thin">
          <color rgb="FF145A99"/>
        </right>
        <top style="thin">
          <color rgb="FF145A99"/>
        </top>
        <bottom/>
        <vertical/>
        <horizontal/>
      </border>
      <protection locked="1" hidden="1"/>
    </dxf>
    <dxf>
      <border diagonalUp="0" diagonalDown="0">
        <left style="thin">
          <color rgb="FF145A99"/>
        </left>
        <right/>
        <top style="thin">
          <color rgb="FF145A99"/>
        </top>
        <bottom/>
        <vertical/>
        <horizontal/>
      </border>
      <protection locked="1" hidden="1"/>
    </dxf>
    <dxf>
      <border diagonalUp="0" diagonalDown="0">
        <left style="thin">
          <color rgb="FF145A99"/>
        </left>
        <right style="thin">
          <color rgb="FF145A99"/>
        </right>
        <top style="thin">
          <color rgb="FF145A99"/>
        </top>
        <bottom/>
        <vertical/>
        <horizontal/>
      </border>
      <protection locked="1" hidden="1"/>
    </dxf>
    <dxf>
      <border diagonalUp="0" diagonalDown="0">
        <left style="thin">
          <color rgb="FF145A99"/>
        </left>
        <right style="thin">
          <color rgb="FF145A99"/>
        </right>
        <top style="thin">
          <color rgb="FF145A99"/>
        </top>
        <bottom/>
        <vertical/>
        <horizontal/>
      </border>
      <protection locked="1" hidden="1"/>
    </dxf>
    <dxf>
      <border diagonalUp="0" diagonalDown="0">
        <left style="thin">
          <color rgb="FF145A99"/>
        </left>
        <right style="thin">
          <color rgb="FF145A99"/>
        </right>
        <top style="thin">
          <color rgb="FF145A99"/>
        </top>
        <bottom/>
        <vertical/>
        <horizontal/>
      </border>
      <protection locked="1" hidden="1"/>
    </dxf>
    <dxf>
      <border diagonalUp="0" diagonalDown="0">
        <left/>
        <right style="thin">
          <color rgb="FF145A99"/>
        </right>
        <top style="thin">
          <color rgb="FF145A99"/>
        </top>
        <bottom/>
        <vertical/>
        <horizontal/>
      </border>
      <protection locked="1" hidden="1"/>
    </dxf>
    <dxf>
      <border outline="0">
        <top style="thin">
          <color rgb="FF145A99"/>
        </top>
      </border>
    </dxf>
    <dxf>
      <border outline="0">
        <left style="thin">
          <color rgb="FF145A99"/>
        </left>
        <right style="thin">
          <color rgb="FF145A99"/>
        </right>
        <top style="thin">
          <color rgb="FF145A99"/>
        </top>
        <bottom style="thin">
          <color rgb="FF145A99"/>
        </bottom>
      </border>
    </dxf>
    <dxf>
      <protection locked="1" hidden="1"/>
    </dxf>
    <dxf>
      <border outline="0">
        <bottom style="thin">
          <color rgb="FF145A99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fill>
        <patternFill patternType="solid">
          <fgColor indexed="64"/>
          <bgColor rgb="FFDCE8F2"/>
        </patternFill>
      </fill>
      <border diagonalUp="0" diagonalDown="0">
        <left style="thin">
          <color rgb="FF145A99"/>
        </left>
        <right style="thin">
          <color rgb="FF145A99"/>
        </right>
        <top/>
        <bottom/>
      </border>
      <protection locked="1" hidden="1"/>
    </dxf>
    <dxf>
      <font>
        <color theme="0"/>
      </font>
    </dxf>
    <dxf>
      <font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theme="0"/>
      </font>
    </dxf>
    <dxf>
      <font>
        <color theme="0"/>
      </font>
    </dxf>
    <dxf>
      <font>
        <color rgb="FF9C0006"/>
      </font>
      <fill>
        <patternFill>
          <bgColor rgb="FFFFC7CE"/>
        </patternFill>
      </fill>
    </dxf>
    <dxf>
      <alignment horizontal="general" vertical="top" textRotation="0" wrapText="0" indent="0" justifyLastLine="0" shrinkToFit="0" readingOrder="0"/>
      <border diagonalUp="0" diagonalDown="0">
        <left style="thin">
          <color rgb="FF001489"/>
        </left>
        <right/>
        <top style="thin">
          <color rgb="FF001489"/>
        </top>
        <bottom style="thin">
          <color rgb="FF001489"/>
        </bottom>
        <vertical/>
        <horizontal/>
      </border>
      <protection locked="1" hidden="1"/>
    </dxf>
    <dxf>
      <alignment horizontal="general" vertical="top" textRotation="0" wrapText="0" indent="0" justifyLastLine="0" shrinkToFit="0" readingOrder="0"/>
      <border diagonalUp="0" diagonalDown="0">
        <left style="thin">
          <color rgb="FF001489"/>
        </left>
        <right style="thin">
          <color rgb="FF001489"/>
        </right>
        <top style="thin">
          <color rgb="FF001489"/>
        </top>
        <bottom style="thin">
          <color rgb="FF001489"/>
        </bottom>
        <vertical/>
        <horizontal/>
      </border>
      <protection locked="1" hidden="1"/>
    </dxf>
    <dxf>
      <alignment horizontal="general" vertical="top" textRotation="0" wrapText="0" indent="0" justifyLastLine="0" shrinkToFit="0" readingOrder="0"/>
      <border diagonalUp="0" diagonalDown="0">
        <left style="thin">
          <color rgb="FF001489"/>
        </left>
        <right style="thin">
          <color rgb="FF001489"/>
        </right>
        <top style="thin">
          <color rgb="FF001489"/>
        </top>
        <bottom style="thin">
          <color rgb="FF001489"/>
        </bottom>
        <vertical/>
        <horizontal/>
      </border>
      <protection locked="1" hidden="1"/>
    </dxf>
    <dxf>
      <alignment horizontal="general" vertical="top" textRotation="0" wrapText="0" indent="0" justifyLastLine="0" shrinkToFit="0" readingOrder="0"/>
      <border diagonalUp="0" diagonalDown="0">
        <left style="thin">
          <color rgb="FF001489"/>
        </left>
        <right style="thin">
          <color rgb="FF001489"/>
        </right>
        <top style="thin">
          <color rgb="FF001489"/>
        </top>
        <bottom style="thin">
          <color rgb="FF001489"/>
        </bottom>
        <vertical/>
        <horizontal/>
      </border>
      <protection locked="1" hidden="1"/>
    </dxf>
    <dxf>
      <alignment horizontal="general" vertical="top" textRotation="0" wrapText="0" indent="0" justifyLastLine="0" shrinkToFit="0" readingOrder="0"/>
      <border diagonalUp="0" diagonalDown="0">
        <left style="thin">
          <color rgb="FF001489"/>
        </left>
        <right style="thin">
          <color rgb="FF001489"/>
        </right>
        <top style="thin">
          <color rgb="FF001489"/>
        </top>
        <bottom style="thin">
          <color rgb="FF001489"/>
        </bottom>
        <vertical/>
        <horizontal/>
      </border>
      <protection locked="1" hidden="1"/>
    </dxf>
    <dxf>
      <alignment horizontal="general" vertical="top" textRotation="0" wrapText="0" indent="0" justifyLastLine="0" shrinkToFit="0" readingOrder="0"/>
      <border diagonalUp="0" diagonalDown="0">
        <left style="thin">
          <color rgb="FF001489"/>
        </left>
        <right style="thin">
          <color rgb="FF001489"/>
        </right>
        <top style="thin">
          <color rgb="FF001489"/>
        </top>
        <bottom style="thin">
          <color rgb="FF001489"/>
        </bottom>
        <vertical/>
        <horizontal/>
      </border>
      <protection locked="1" hidden="1"/>
    </dxf>
    <dxf>
      <alignment horizontal="general" vertical="top" textRotation="0" wrapText="0" indent="0" justifyLastLine="0" shrinkToFit="0" readingOrder="0"/>
      <border diagonalUp="0" diagonalDown="0">
        <left style="thin">
          <color rgb="FF001489"/>
        </left>
        <right style="thin">
          <color rgb="FF001489"/>
        </right>
        <top style="thin">
          <color rgb="FF001489"/>
        </top>
        <bottom style="thin">
          <color rgb="FF001489"/>
        </bottom>
        <vertical/>
        <horizontal/>
      </border>
      <protection locked="1" hidden="1"/>
    </dxf>
    <dxf>
      <alignment horizontal="general" vertical="top" textRotation="0" wrapText="0" indent="0" justifyLastLine="0" shrinkToFit="0" readingOrder="0"/>
      <border diagonalUp="0" diagonalDown="0">
        <left style="thin">
          <color rgb="FF001489"/>
        </left>
        <right style="thin">
          <color rgb="FF001489"/>
        </right>
        <top style="thin">
          <color rgb="FF001489"/>
        </top>
        <bottom style="thin">
          <color rgb="FF001489"/>
        </bottom>
        <vertical/>
        <horizontal/>
      </border>
      <protection locked="1" hidden="1"/>
    </dxf>
    <dxf>
      <alignment horizontal="general" vertical="top" textRotation="0" wrapText="0" indent="0" justifyLastLine="0" shrinkToFit="0" readingOrder="0"/>
      <border diagonalUp="0" diagonalDown="0">
        <left style="thin">
          <color rgb="FF001489"/>
        </left>
        <right style="thin">
          <color rgb="FF001489"/>
        </right>
        <top style="thin">
          <color rgb="FF001489"/>
        </top>
        <bottom style="thin">
          <color rgb="FF001489"/>
        </bottom>
        <vertical/>
        <horizontal/>
      </border>
      <protection locked="1" hidden="1"/>
    </dxf>
    <dxf>
      <alignment horizontal="general" vertical="top" textRotation="0" wrapText="0" indent="0" justifyLastLine="0" shrinkToFit="0" readingOrder="0"/>
      <border diagonalUp="0" diagonalDown="0">
        <left style="thin">
          <color rgb="FF001489"/>
        </left>
        <right style="thin">
          <color rgb="FF001489"/>
        </right>
        <top style="thin">
          <color rgb="FF001489"/>
        </top>
        <bottom style="thin">
          <color rgb="FF001489"/>
        </bottom>
        <vertical/>
        <horizontal/>
      </border>
      <protection locked="1" hidden="1"/>
    </dxf>
    <dxf>
      <alignment horizontal="general" vertical="top" textRotation="0" wrapText="0" indent="0" justifyLastLine="0" shrinkToFit="0" readingOrder="0"/>
      <border diagonalUp="0" diagonalDown="0">
        <left style="thin">
          <color rgb="FF001489"/>
        </left>
        <right style="thin">
          <color rgb="FF001489"/>
        </right>
        <top style="thin">
          <color rgb="FF001489"/>
        </top>
        <bottom style="thin">
          <color rgb="FF001489"/>
        </bottom>
        <vertical/>
        <horizontal/>
      </border>
      <protection locked="1" hidden="1"/>
    </dxf>
    <dxf>
      <alignment horizontal="general" vertical="top" textRotation="0" wrapText="0" indent="0" justifyLastLine="0" shrinkToFit="0" readingOrder="0"/>
      <border diagonalUp="0" diagonalDown="0">
        <left style="thin">
          <color rgb="FF001489"/>
        </left>
        <right style="thin">
          <color rgb="FF001489"/>
        </right>
        <top style="thin">
          <color rgb="FF001489"/>
        </top>
        <bottom style="thin">
          <color rgb="FF001489"/>
        </bottom>
        <vertical/>
        <horizontal/>
      </border>
      <protection locked="1" hidden="1"/>
    </dxf>
    <dxf>
      <alignment horizontal="general" vertical="top" textRotation="0" wrapText="0" indent="0" justifyLastLine="0" shrinkToFit="0" readingOrder="0"/>
      <border diagonalUp="0" diagonalDown="0">
        <left style="thin">
          <color rgb="FF001489"/>
        </left>
        <right style="thin">
          <color rgb="FF001489"/>
        </right>
        <top style="thin">
          <color rgb="FF001489"/>
        </top>
        <bottom style="thin">
          <color rgb="FF001489"/>
        </bottom>
        <vertical/>
        <horizontal/>
      </border>
      <protection locked="1" hidden="1"/>
    </dxf>
    <dxf>
      <alignment horizontal="general" vertical="top" textRotation="0" wrapText="0" indent="0" justifyLastLine="0" shrinkToFit="0" readingOrder="0"/>
      <border diagonalUp="0" diagonalDown="0">
        <left/>
        <right style="thin">
          <color rgb="FF001489"/>
        </right>
        <top style="thin">
          <color rgb="FF001489"/>
        </top>
        <bottom style="thin">
          <color rgb="FF001489"/>
        </bottom>
        <vertical/>
        <horizontal/>
      </border>
      <protection locked="1" hidden="1"/>
    </dxf>
    <dxf>
      <border>
        <top style="thin">
          <color rgb="FF001489"/>
        </top>
        <vertical/>
        <horizontal/>
      </border>
    </dxf>
    <dxf>
      <border diagonalUp="0" diagonalDown="0">
        <left style="medium">
          <color rgb="FF001489"/>
        </left>
        <right style="medium">
          <color rgb="FF001489"/>
        </right>
        <top style="medium">
          <color rgb="FF001489"/>
        </top>
        <bottom style="medium">
          <color rgb="FF001489"/>
        </bottom>
      </border>
    </dxf>
    <dxf>
      <numFmt numFmtId="178" formatCode="mmm\ [$-809]\T\T;@"/>
      <alignment horizontal="general" vertical="top" textRotation="0" wrapText="0" indent="0" justifyLastLine="0" shrinkToFit="0" readingOrder="0"/>
      <protection locked="1" hidden="1"/>
    </dxf>
    <dxf>
      <border>
        <bottom style="medium">
          <color rgb="FF001489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1489"/>
        <name val="Calibri"/>
        <scheme val="minor"/>
      </font>
      <numFmt numFmtId="165" formatCode="mmm\ [$-809]dd;@"/>
      <fill>
        <patternFill patternType="solid">
          <fgColor indexed="64"/>
          <bgColor rgb="FFDCE8F2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rgb="FF001489"/>
        </left>
        <right style="thin">
          <color rgb="FF001489"/>
        </right>
        <top/>
        <bottom/>
      </border>
      <protection locked="1" hidden="1"/>
    </dxf>
    <dxf>
      <fill>
        <patternFill>
          <bgColor theme="5" tint="0.39994506668294322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numFmt numFmtId="0" formatCode="General"/>
      <alignment horizontal="general" vertical="top" textRotation="0" wrapText="0" indent="0" justifyLastLine="0" shrinkToFit="0" readingOrder="0"/>
    </dxf>
    <dxf>
      <alignment horizontal="general" vertical="top" textRotation="0" wrapText="0" indent="0" justifyLastLine="0" shrinkToFit="0" readingOrder="0"/>
    </dxf>
    <dxf>
      <border outline="0">
        <bottom style="thick">
          <color theme="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Calibri"/>
        <scheme val="minor"/>
      </font>
      <fill>
        <patternFill patternType="solid">
          <fgColor theme="4"/>
          <bgColor theme="4"/>
        </patternFill>
      </fill>
      <alignment horizontal="general" vertical="bottom" textRotation="0" wrapText="1" indent="0" justifyLastLine="0" shrinkToFit="0" readingOrder="0"/>
    </dxf>
    <dxf>
      <numFmt numFmtId="0" formatCode="General"/>
      <alignment horizontal="general" vertical="top" textRotation="0" wrapText="0" indent="0" justifyLastLine="0" shrinkToFit="0" readingOrder="0"/>
    </dxf>
    <dxf>
      <alignment horizontal="general" vertical="top" textRotation="0" wrapText="0" indent="0" justifyLastLine="0" shrinkToFit="0" readingOrder="0"/>
    </dxf>
    <dxf>
      <border outline="0">
        <bottom style="thick">
          <color theme="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Calibri"/>
        <scheme val="minor"/>
      </font>
      <fill>
        <patternFill patternType="solid">
          <fgColor theme="4"/>
          <bgColor theme="4"/>
        </patternFill>
      </fill>
      <alignment horizontal="general" vertical="bottom" textRotation="0" wrapText="1" indent="0" justifyLastLine="0" shrinkToFit="0" readingOrder="0"/>
    </dxf>
    <dxf>
      <numFmt numFmtId="0" formatCode="General"/>
      <alignment horizontal="general" vertical="top" textRotation="0" wrapText="0" indent="0" justifyLastLine="0" shrinkToFit="0" readingOrder="0"/>
    </dxf>
    <dxf>
      <alignment horizontal="general" vertical="top" textRotation="0" wrapText="0" indent="0" justifyLastLine="0" shrinkToFit="0" readingOrder="0"/>
    </dxf>
    <dxf>
      <border outline="0">
        <bottom style="thick">
          <color theme="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Calibri"/>
        <scheme val="minor"/>
      </font>
      <fill>
        <patternFill patternType="solid">
          <fgColor theme="4"/>
          <bgColor theme="4"/>
        </patternFill>
      </fill>
      <alignment horizontal="general" vertical="bottom" textRotation="0" wrapText="1" indent="0" justifyLastLine="0" shrinkToFit="0" readingOrder="0"/>
    </dxf>
    <dxf>
      <numFmt numFmtId="0" formatCode="General"/>
      <alignment horizontal="general" vertical="top" textRotation="0" wrapText="0" indent="0" justifyLastLine="0" shrinkToFit="0" readingOrder="0"/>
    </dxf>
    <dxf>
      <alignment horizontal="general" vertical="top" textRotation="0" wrapText="0" indent="0" justifyLastLine="0" shrinkToFit="0" readingOrder="0"/>
    </dxf>
    <dxf>
      <alignment horizontal="general" vertical="bottom" textRotation="0" wrapText="1" indent="0" justifyLastLine="0" shrinkToFit="0" readingOrder="0"/>
    </dxf>
    <dxf>
      <numFmt numFmtId="0" formatCode="General"/>
      <alignment horizontal="general" vertical="top" textRotation="0" wrapText="0" indent="0" justifyLastLine="0" shrinkToFit="0" readingOrder="0"/>
    </dxf>
    <dxf>
      <alignment horizontal="general" vertical="top" textRotation="0" wrapText="0" indent="0" justifyLastLine="0" shrinkToFit="0" readingOrder="0"/>
    </dxf>
    <dxf>
      <border outline="0">
        <bottom style="thick">
          <color theme="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Calibri"/>
        <scheme val="minor"/>
      </font>
      <fill>
        <patternFill patternType="solid">
          <fgColor theme="4"/>
          <bgColor theme="4"/>
        </patternFill>
      </fill>
      <alignment horizontal="general" vertical="bottom" textRotation="0" wrapText="1" indent="0" justifyLastLine="0" shrinkToFit="0" readingOrder="0"/>
    </dxf>
    <dxf>
      <numFmt numFmtId="0" formatCode="General"/>
      <alignment horizontal="general" vertical="top" textRotation="0" wrapText="0" indent="0" justifyLastLine="0" shrinkToFit="0" readingOrder="0"/>
    </dxf>
    <dxf>
      <alignment horizontal="general" vertical="top" textRotation="0" wrapText="0" indent="0" justifyLastLine="0" shrinkToFit="0" readingOrder="0"/>
    </dxf>
    <dxf>
      <border outline="0">
        <bottom style="thick">
          <color theme="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Calibri"/>
        <scheme val="minor"/>
      </font>
      <fill>
        <patternFill patternType="solid">
          <fgColor theme="4"/>
          <bgColor theme="4"/>
        </patternFill>
      </fill>
      <alignment horizontal="general" vertical="bottom" textRotation="0" wrapText="1" indent="0" justifyLastLine="0" shrinkToFit="0" readingOrder="0"/>
    </dxf>
    <dxf>
      <numFmt numFmtId="0" formatCode="General"/>
      <alignment horizontal="general" vertical="top" textRotation="0" wrapText="0" indent="0" justifyLastLine="0" shrinkToFit="0" readingOrder="0"/>
    </dxf>
    <dxf>
      <alignment horizontal="general" vertical="top" textRotation="0" wrapText="0" indent="0" justifyLastLine="0" shrinkToFit="0" readingOrder="0"/>
    </dxf>
    <dxf>
      <alignment horizontal="general" vertical="bottom" textRotation="0" wrapText="1" indent="0" justifyLastLine="0" shrinkToFit="0" readingOrder="0"/>
    </dxf>
    <dxf>
      <alignment horizontal="general" vertical="top" textRotation="0" wrapText="0" indent="0" justifyLastLine="0" shrinkToFit="0" readingOrder="0"/>
    </dxf>
    <dxf>
      <alignment horizontal="general" vertical="top" textRotation="0" wrapText="0" indent="0" justifyLastLine="0" shrinkToFit="0" readingOrder="0"/>
    </dxf>
    <dxf>
      <alignment horizontal="general" vertical="bottom" textRotation="0" wrapText="1" indent="0" justifyLastLine="0" shrinkToFit="0" readingOrder="0"/>
    </dxf>
    <dxf>
      <numFmt numFmtId="0" formatCode="General"/>
      <alignment horizontal="general" vertical="top" textRotation="0" wrapText="0" indent="0" justifyLastLine="0" shrinkToFit="0" readingOrder="0"/>
    </dxf>
    <dxf>
      <alignment horizontal="general" vertical="top" textRotation="0" wrapText="0" indent="0" justifyLastLine="0" shrinkToFit="0" readingOrder="0"/>
    </dxf>
    <dxf>
      <alignment horizontal="general" vertical="bottom" textRotation="0" wrapText="1" indent="0" justifyLastLine="0" shrinkToFit="0" readingOrder="0"/>
    </dxf>
    <dxf>
      <numFmt numFmtId="0" formatCode="General"/>
      <alignment horizontal="general" vertical="top" textRotation="0" wrapText="0" indent="0" justifyLastLine="0" shrinkToFit="0" readingOrder="0"/>
    </dxf>
    <dxf>
      <alignment horizontal="general" vertical="top" textRotation="0" wrapText="0" indent="0" justifyLastLine="0" shrinkToFit="0" readingOrder="0"/>
    </dxf>
    <dxf>
      <alignment horizontal="general" vertical="bottom" textRotation="0" wrapText="1" indent="0" justifyLastLine="0" shrinkToFit="0" readingOrder="0"/>
    </dxf>
    <dxf>
      <numFmt numFmtId="0" formatCode="General"/>
      <alignment horizontal="general" vertical="top" textRotation="0" wrapText="0" indent="0" justifyLastLine="0" shrinkToFit="0" readingOrder="0"/>
    </dxf>
    <dxf>
      <alignment horizontal="general" vertical="top" textRotation="0" wrapText="0" indent="0" justifyLastLine="0" shrinkToFit="0" readingOrder="0"/>
    </dxf>
    <dxf>
      <alignment horizontal="general" vertical="bottom" textRotation="0" wrapText="1" indent="0" justifyLastLine="0" shrinkToFit="0" readingOrder="0"/>
    </dxf>
    <dxf>
      <numFmt numFmtId="0" formatCode="General"/>
      <alignment horizontal="general" vertical="top" textRotation="0" wrapText="0" indent="0" justifyLastLine="0" shrinkToFit="0" readingOrder="0"/>
    </dxf>
    <dxf>
      <alignment horizontal="general" vertical="top" textRotation="0" wrapText="0" indent="0" justifyLastLine="0" shrinkToFit="0" readingOrder="0"/>
    </dxf>
    <dxf>
      <alignment horizontal="general" vertical="bottom" textRotation="0" wrapText="1" indent="0" justifyLastLine="0" shrinkToFit="0" readingOrder="0"/>
    </dxf>
    <dxf>
      <numFmt numFmtId="0" formatCode="General"/>
      <alignment horizontal="general" vertical="top" textRotation="0" wrapText="0" indent="0" justifyLastLine="0" shrinkToFit="0" readingOrder="0"/>
    </dxf>
    <dxf>
      <alignment horizontal="general" vertical="top" textRotation="0" wrapText="0" indent="0" justifyLastLine="0" shrinkToFit="0" readingOrder="0"/>
    </dxf>
    <dxf>
      <alignment horizontal="general" vertical="bottom" textRotation="0" wrapText="1" indent="0" justifyLastLine="0" shrinkToFit="0" readingOrder="0"/>
    </dxf>
    <dxf>
      <numFmt numFmtId="0" formatCode="General"/>
      <alignment horizontal="general" vertical="top" textRotation="0" wrapText="0" indent="0" justifyLastLine="0" shrinkToFit="0" readingOrder="0"/>
    </dxf>
    <dxf>
      <numFmt numFmtId="0" formatCode="General"/>
      <alignment horizontal="general" vertical="top" textRotation="0" wrapText="0" indent="0" justifyLastLine="0" shrinkToFit="0" readingOrder="0"/>
    </dxf>
    <dxf>
      <numFmt numFmtId="0" formatCode="General"/>
      <alignment horizontal="general" vertical="top" textRotation="0" wrapText="0" indent="0" justifyLastLine="0" shrinkToFit="0" readingOrder="0"/>
    </dxf>
    <dxf>
      <numFmt numFmtId="0" formatCode="General"/>
      <alignment horizontal="general" vertical="top" textRotation="0" wrapText="0" indent="0" justifyLastLine="0" shrinkToFit="0" readingOrder="0"/>
    </dxf>
    <dxf>
      <numFmt numFmtId="0" formatCode="General"/>
      <alignment horizontal="general" vertical="top" textRotation="0" wrapText="0" indent="0" justifyLastLine="0" shrinkToFit="0" readingOrder="0"/>
    </dxf>
    <dxf>
      <numFmt numFmtId="170" formatCode="hh:mm;@"/>
      <alignment horizontal="general" vertical="top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numFmt numFmtId="0" formatCode="General"/>
      <alignment horizontal="center" vertical="top" textRotation="0" wrapText="0" indent="0" justifyLastLine="0" shrinkToFit="0" readingOrder="0"/>
      <border diagonalUp="0" diagonalDown="0">
        <left style="thin">
          <color rgb="FF145A99"/>
        </left>
        <right style="thin">
          <color rgb="FF145A99"/>
        </right>
        <top style="thin">
          <color rgb="FF145A99"/>
        </top>
        <bottom style="thin">
          <color rgb="FF145A99"/>
        </bottom>
        <vertical/>
        <horizontal/>
      </border>
      <protection locked="1" hidden="0"/>
    </dxf>
    <dxf>
      <numFmt numFmtId="170" formatCode="hh:mm;@"/>
      <alignment horizontal="general" vertical="top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numFmt numFmtId="0" formatCode="General"/>
      <alignment horizontal="center" vertical="top" textRotation="0" wrapText="0" indent="0" justifyLastLine="0" shrinkToFit="0" readingOrder="0"/>
      <border diagonalUp="0" diagonalDown="0">
        <left style="thin">
          <color rgb="FF145A99"/>
        </left>
        <right style="thin">
          <color rgb="FF145A99"/>
        </right>
        <top style="thin">
          <color rgb="FF145A99"/>
        </top>
        <bottom style="thin">
          <color rgb="FF145A99"/>
        </bottom>
        <vertical/>
        <horizontal/>
      </border>
      <protection locked="1" hidden="0"/>
    </dxf>
    <dxf>
      <numFmt numFmtId="34" formatCode="_-* #,##0.00\ &quot;€&quot;_-;\-* #,##0.00\ &quot;€&quot;_-;_-* &quot;-&quot;??\ &quot;€&quot;_-;_-@_-"/>
      <alignment horizontal="general" vertical="top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numFmt numFmtId="34" formatCode="_-* #,##0.00\ &quot;€&quot;_-;\-* #,##0.00\ &quot;€&quot;_-;_-* &quot;-&quot;??\ &quot;€&quot;_-;_-@_-"/>
      <alignment horizontal="general" vertical="top" textRotation="0" wrapText="0" indent="0" justifyLastLine="0" shrinkToFit="0" readingOrder="0"/>
      <border diagonalUp="0" diagonalDown="0">
        <left style="thin">
          <color rgb="FF145A99"/>
        </left>
        <right style="thin">
          <color rgb="FF145A99"/>
        </right>
        <top style="thin">
          <color rgb="FF145A99"/>
        </top>
        <bottom style="thin">
          <color rgb="FF145A99"/>
        </bottom>
        <vertical/>
        <horizontal/>
      </border>
      <protection locked="1" hidden="0"/>
    </dxf>
    <dxf>
      <numFmt numFmtId="34" formatCode="_-* #,##0.00\ &quot;€&quot;_-;\-* #,##0.00\ &quot;€&quot;_-;_-* &quot;-&quot;??\ &quot;€&quot;_-;_-@_-"/>
      <alignment horizontal="general" vertical="top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outline val="0"/>
        <shadow val="0"/>
        <u val="none"/>
        <vertAlign val="baseline"/>
        <sz val="12"/>
        <color theme="1"/>
        <name val="Calibri"/>
        <scheme val="minor"/>
      </font>
      <numFmt numFmtId="34" formatCode="_-* #,##0.00\ &quot;€&quot;_-;\-* #,##0.00\ &quot;€&quot;_-;_-* &quot;-&quot;??\ &quot;€&quot;_-;_-@_-"/>
      <alignment horizontal="general" vertical="top" textRotation="0" wrapText="0" indent="0" justifyLastLine="0" shrinkToFit="0" readingOrder="0"/>
      <border diagonalUp="0" diagonalDown="0">
        <left style="thin">
          <color rgb="FF145A99"/>
        </left>
        <right style="thin">
          <color rgb="FF145A99"/>
        </right>
        <top style="thin">
          <color rgb="FF145A99"/>
        </top>
        <bottom style="thin">
          <color rgb="FF145A99"/>
        </bottom>
        <vertical/>
        <horizontal/>
      </border>
      <protection locked="1" hidden="0"/>
    </dxf>
    <dxf>
      <numFmt numFmtId="34" formatCode="_-* #,##0.00\ &quot;€&quot;_-;\-* #,##0.00\ &quot;€&quot;_-;_-* &quot;-&quot;??\ &quot;€&quot;_-;_-@_-"/>
      <alignment horizontal="general" vertical="top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outline val="0"/>
        <shadow val="0"/>
        <u val="none"/>
        <vertAlign val="baseline"/>
        <sz val="12"/>
        <color theme="1"/>
        <name val="Calibri"/>
        <scheme val="minor"/>
      </font>
      <numFmt numFmtId="0" formatCode="General"/>
      <alignment horizontal="general" vertical="top" textRotation="0" wrapText="0" indent="0" justifyLastLine="0" shrinkToFit="0" readingOrder="0"/>
      <border diagonalUp="0" diagonalDown="0">
        <left style="thin">
          <color rgb="FF145A99"/>
        </left>
        <right style="thin">
          <color rgb="FF145A99"/>
        </right>
        <top style="thin">
          <color rgb="FF145A99"/>
        </top>
        <bottom style="thin">
          <color rgb="FF145A99"/>
        </bottom>
        <vertical/>
        <horizontal/>
      </border>
      <protection locked="1" hidden="0"/>
    </dxf>
    <dxf>
      <numFmt numFmtId="34" formatCode="_-* #,##0.00\ &quot;€&quot;_-;\-* #,##0.00\ &quot;€&quot;_-;_-* &quot;-&quot;??\ &quot;€&quot;_-;_-@_-"/>
      <alignment horizontal="general" vertical="top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outline val="0"/>
        <shadow val="0"/>
        <u val="none"/>
        <vertAlign val="baseline"/>
        <sz val="12"/>
        <color theme="1"/>
        <name val="Calibri"/>
        <scheme val="minor"/>
      </font>
      <numFmt numFmtId="34" formatCode="_-* #,##0.00\ &quot;€&quot;_-;\-* #,##0.00\ &quot;€&quot;_-;_-* &quot;-&quot;??\ &quot;€&quot;_-;_-@_-"/>
      <alignment horizontal="general" vertical="top" textRotation="0" wrapText="0" indent="0" justifyLastLine="0" shrinkToFit="0" readingOrder="0"/>
      <border diagonalUp="0" diagonalDown="0">
        <left style="thin">
          <color rgb="FF145A99"/>
        </left>
        <right style="thin">
          <color rgb="FF145A99"/>
        </right>
        <top style="thin">
          <color rgb="FF145A99"/>
        </top>
        <bottom style="thin">
          <color rgb="FF145A99"/>
        </bottom>
        <vertical/>
        <horizontal/>
      </border>
      <protection locked="1" hidden="0"/>
    </dxf>
    <dxf>
      <numFmt numFmtId="34" formatCode="_-* #,##0.00\ &quot;€&quot;_-;\-* #,##0.00\ &quot;€&quot;_-;_-* &quot;-&quot;??\ &quot;€&quot;_-;_-@_-"/>
      <alignment horizontal="general" vertical="top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outline val="0"/>
        <shadow val="0"/>
        <u val="none"/>
        <vertAlign val="baseline"/>
        <sz val="12"/>
        <color theme="1"/>
        <name val="Calibri"/>
        <scheme val="minor"/>
      </font>
      <numFmt numFmtId="34" formatCode="_-* #,##0.00\ &quot;€&quot;_-;\-* #,##0.00\ &quot;€&quot;_-;_-* &quot;-&quot;??\ &quot;€&quot;_-;_-@_-"/>
      <alignment horizontal="general" vertical="top" textRotation="0" wrapText="0" indent="0" justifyLastLine="0" shrinkToFit="0" readingOrder="0"/>
      <border diagonalUp="0" diagonalDown="0">
        <left style="thin">
          <color rgb="FF145A99"/>
        </left>
        <right style="thin">
          <color rgb="FF145A99"/>
        </right>
        <top style="thin">
          <color rgb="FF145A99"/>
        </top>
        <bottom style="thin">
          <color rgb="FF145A99"/>
        </bottom>
        <vertical/>
        <horizontal/>
      </border>
      <protection locked="1" hidden="0"/>
    </dxf>
    <dxf>
      <numFmt numFmtId="34" formatCode="_-* #,##0.00\ &quot;€&quot;_-;\-* #,##0.00\ &quot;€&quot;_-;_-* &quot;-&quot;??\ &quot;€&quot;_-;_-@_-"/>
      <alignment horizontal="general" vertical="top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outline val="0"/>
        <shadow val="0"/>
        <u val="none"/>
        <vertAlign val="baseline"/>
        <sz val="12"/>
        <color theme="1"/>
        <name val="Calibri"/>
        <scheme val="minor"/>
      </font>
      <numFmt numFmtId="34" formatCode="_-* #,##0.00\ &quot;€&quot;_-;\-* #,##0.00\ &quot;€&quot;_-;_-* &quot;-&quot;??\ &quot;€&quot;_-;_-@_-"/>
      <alignment horizontal="general" vertical="top" textRotation="0" wrapText="0" indent="0" justifyLastLine="0" shrinkToFit="0" readingOrder="0"/>
      <border diagonalUp="0" diagonalDown="0" outline="0">
        <left style="medium">
          <color rgb="FF001489"/>
        </left>
        <right style="medium">
          <color rgb="FF001489"/>
        </right>
        <top style="thin">
          <color auto="1"/>
        </top>
        <bottom style="thin">
          <color auto="1"/>
        </bottom>
      </border>
    </dxf>
    <dxf>
      <alignment horizontal="center" vertical="top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numFmt numFmtId="34" formatCode="_-* #,##0.00\ &quot;€&quot;_-;\-* #,##0.00\ &quot;€&quot;_-;_-* &quot;-&quot;??\ &quot;€&quot;_-;_-@_-"/>
      <alignment horizontal="center" vertical="top" textRotation="0" wrapText="0" relativeIndent="0" justifyLastLine="0" shrinkToFit="0" readingOrder="0"/>
      <border diagonalUp="0" diagonalDown="0" outline="0">
        <left/>
        <right/>
        <top style="thin">
          <color rgb="FF001489"/>
        </top>
        <bottom style="thin">
          <color rgb="FF001489"/>
        </bottom>
      </border>
    </dxf>
    <dxf>
      <alignment horizontal="center" vertical="top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numFmt numFmtId="0" formatCode="General"/>
      <alignment horizontal="center" vertical="top" textRotation="0" wrapText="0" relativeIndent="0" justifyLastLine="0" shrinkToFit="0" readingOrder="0"/>
      <border diagonalUp="0" diagonalDown="0" outline="0">
        <left/>
        <right/>
        <top style="thin">
          <color rgb="FF001489"/>
        </top>
        <bottom style="thin">
          <color rgb="FF001489"/>
        </bottom>
      </border>
    </dxf>
    <dxf>
      <alignment horizontal="center" vertical="top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outline val="0"/>
        <shadow val="0"/>
        <u val="none"/>
        <vertAlign val="baseline"/>
        <sz val="12"/>
        <color theme="1"/>
        <name val="Calibri"/>
        <scheme val="minor"/>
      </font>
      <numFmt numFmtId="0" formatCode="General"/>
      <alignment horizontal="center" vertical="top" textRotation="0" wrapText="0" indent="0" justifyLastLine="0" shrinkToFit="0" readingOrder="0"/>
      <border diagonalUp="0" diagonalDown="0" outline="0">
        <left style="thin">
          <color rgb="FF001489"/>
        </left>
        <right style="thin">
          <color rgb="FF001489"/>
        </right>
        <top style="thin">
          <color rgb="FF001489"/>
        </top>
        <bottom style="thin">
          <color rgb="FF001489"/>
        </bottom>
      </border>
    </dxf>
    <dxf>
      <alignment horizontal="center" vertical="top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outline val="0"/>
        <shadow val="0"/>
        <u val="none"/>
        <vertAlign val="baseline"/>
        <sz val="12"/>
        <color theme="1"/>
        <name val="Calibri"/>
        <scheme val="minor"/>
      </font>
      <numFmt numFmtId="0" formatCode="General"/>
      <alignment horizontal="center" vertical="top" textRotation="0" wrapText="0" indent="0" justifyLastLine="0" shrinkToFit="0" readingOrder="0"/>
      <border diagonalUp="0" diagonalDown="0" outline="0">
        <left style="medium">
          <color rgb="FF001489"/>
        </left>
        <right style="medium">
          <color rgb="FF001489"/>
        </right>
        <top style="thin">
          <color auto="1"/>
        </top>
        <bottom style="thin">
          <color auto="1"/>
        </bottom>
      </border>
    </dxf>
    <dxf>
      <alignment horizontal="general" vertical="top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outline val="0"/>
        <shadow val="0"/>
        <u val="none"/>
        <vertAlign val="baseline"/>
        <sz val="12"/>
        <color theme="1"/>
        <name val="Calibri"/>
        <scheme val="minor"/>
      </font>
      <alignment horizontal="left" vertical="top" textRotation="0" wrapText="0" indent="0" justifyLastLine="0" shrinkToFit="0" readingOrder="0"/>
      <border diagonalUp="0" diagonalDown="0">
        <left style="thin">
          <color rgb="FF001489"/>
        </left>
        <right style="medium">
          <color rgb="FF001489"/>
        </right>
        <top style="thin">
          <color auto="1"/>
        </top>
        <bottom style="thin">
          <color auto="1"/>
        </bottom>
        <vertical style="thin">
          <color rgb="FF145A99"/>
        </vertical>
        <horizontal style="thin">
          <color rgb="FF145A99"/>
        </horizontal>
      </border>
      <protection locked="0" hidden="0"/>
    </dxf>
    <dxf>
      <alignment horizontal="general" vertical="top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outline val="0"/>
        <shadow val="0"/>
        <u val="none"/>
        <vertAlign val="baseline"/>
        <sz val="12"/>
        <color theme="1"/>
        <name val="Calibri"/>
        <scheme val="minor"/>
      </font>
      <alignment horizontal="left" vertical="top" textRotation="0" wrapText="0" indent="0" justifyLastLine="0" shrinkToFit="0" readingOrder="0"/>
      <border diagonalUp="0" diagonalDown="0">
        <left style="thin">
          <color rgb="FF001489"/>
        </left>
        <right style="thin">
          <color rgb="FF001489"/>
        </right>
        <top style="thin">
          <color auto="1"/>
        </top>
        <bottom style="thin">
          <color auto="1"/>
        </bottom>
        <vertical style="thin">
          <color rgb="FF145A99"/>
        </vertical>
        <horizontal style="thin">
          <color rgb="FF145A99"/>
        </horizontal>
      </border>
      <protection locked="0" hidden="0"/>
    </dxf>
    <dxf>
      <alignment horizontal="general" vertical="top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outline val="0"/>
        <shadow val="0"/>
        <u val="none"/>
        <vertAlign val="baseline"/>
        <sz val="12"/>
        <color theme="1"/>
        <name val="Calibri"/>
        <scheme val="minor"/>
      </font>
      <alignment horizontal="left" vertical="top" textRotation="0" wrapText="0" indent="0" justifyLastLine="0" shrinkToFit="0" readingOrder="0"/>
      <border diagonalUp="0" diagonalDown="0">
        <left style="thin">
          <color rgb="FF001489"/>
        </left>
        <right style="thin">
          <color rgb="FF001489"/>
        </right>
        <top style="thin">
          <color auto="1"/>
        </top>
        <bottom style="thin">
          <color auto="1"/>
        </bottom>
        <vertical style="thin">
          <color rgb="FF145A99"/>
        </vertical>
        <horizontal style="thin">
          <color rgb="FF145A99"/>
        </horizontal>
      </border>
      <protection locked="0" hidden="0"/>
    </dxf>
    <dxf>
      <alignment horizontal="general" vertical="top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outline val="0"/>
        <shadow val="0"/>
        <u val="none"/>
        <vertAlign val="baseline"/>
        <sz val="12"/>
        <color theme="1"/>
        <name val="Calibri"/>
        <scheme val="minor"/>
      </font>
      <alignment horizontal="left" vertical="top" textRotation="0" wrapText="0" indent="0" justifyLastLine="0" shrinkToFit="0" readingOrder="0"/>
      <border diagonalUp="0" diagonalDown="0">
        <left style="thin">
          <color rgb="FF001489"/>
        </left>
        <right style="thin">
          <color rgb="FF001489"/>
        </right>
        <top style="thin">
          <color auto="1"/>
        </top>
        <bottom style="thin">
          <color auto="1"/>
        </bottom>
        <vertical style="thin">
          <color rgb="FF145A99"/>
        </vertical>
        <horizontal style="thin">
          <color rgb="FF145A99"/>
        </horizontal>
      </border>
      <protection locked="0" hidden="0"/>
    </dxf>
    <dxf>
      <alignment horizontal="general" vertical="top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outline val="0"/>
        <shadow val="0"/>
        <u val="none"/>
        <vertAlign val="baseline"/>
        <sz val="12"/>
        <color theme="1"/>
        <name val="Calibri"/>
        <scheme val="minor"/>
      </font>
      <alignment horizontal="left" vertical="top" textRotation="0" wrapText="0" indent="0" justifyLastLine="0" shrinkToFit="0" readingOrder="0"/>
      <border diagonalUp="0" diagonalDown="0">
        <left style="thin">
          <color rgb="FF001489"/>
        </left>
        <right style="thin">
          <color rgb="FF001489"/>
        </right>
        <top style="thin">
          <color auto="1"/>
        </top>
        <bottom style="thin">
          <color auto="1"/>
        </bottom>
        <vertical style="thin">
          <color rgb="FF145A99"/>
        </vertical>
        <horizontal style="thin">
          <color rgb="FF145A99"/>
        </horizontal>
      </border>
      <protection locked="0" hidden="0"/>
    </dxf>
    <dxf>
      <alignment horizontal="general" vertical="top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outline val="0"/>
        <shadow val="0"/>
        <u val="none"/>
        <vertAlign val="baseline"/>
        <sz val="12"/>
        <color theme="1"/>
        <name val="Calibri"/>
        <scheme val="minor"/>
      </font>
      <alignment horizontal="left" vertical="top" textRotation="0" wrapText="0" indent="0" justifyLastLine="0" shrinkToFit="0" readingOrder="0"/>
      <border diagonalUp="0" diagonalDown="0">
        <left style="thin">
          <color rgb="FF001489"/>
        </left>
        <right style="thin">
          <color rgb="FF001489"/>
        </right>
        <top style="thin">
          <color auto="1"/>
        </top>
        <bottom style="thin">
          <color auto="1"/>
        </bottom>
        <vertical style="thin">
          <color rgb="FF145A99"/>
        </vertical>
        <horizontal style="thin">
          <color rgb="FF145A99"/>
        </horizontal>
      </border>
      <protection locked="0" hidden="0"/>
    </dxf>
    <dxf>
      <alignment horizontal="general" vertical="top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outline val="0"/>
        <shadow val="0"/>
        <u val="none"/>
        <vertAlign val="baseline"/>
        <sz val="12"/>
        <color theme="1"/>
        <name val="Calibri"/>
        <scheme val="minor"/>
      </font>
      <alignment horizontal="left" vertical="top" textRotation="0" wrapText="0" indent="0" justifyLastLine="0" shrinkToFit="0" readingOrder="0"/>
      <border diagonalUp="0" diagonalDown="0">
        <left style="thin">
          <color rgb="FF001489"/>
        </left>
        <right style="thin">
          <color rgb="FF001489"/>
        </right>
        <top style="thin">
          <color auto="1"/>
        </top>
        <bottom style="thin">
          <color auto="1"/>
        </bottom>
        <vertical style="thin">
          <color rgb="FF145A99"/>
        </vertical>
        <horizontal style="thin">
          <color rgb="FF145A99"/>
        </horizontal>
      </border>
      <protection locked="0" hidden="0"/>
    </dxf>
    <dxf>
      <alignment horizontal="general" vertical="top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outline val="0"/>
        <shadow val="0"/>
        <u val="none"/>
        <vertAlign val="baseline"/>
        <sz val="12"/>
        <color theme="1"/>
        <name val="Calibri"/>
        <scheme val="minor"/>
      </font>
      <alignment horizontal="left" vertical="top" textRotation="0" wrapText="0" indent="0" justifyLastLine="0" shrinkToFit="0" readingOrder="0"/>
      <border diagonalUp="0" diagonalDown="0">
        <left style="thin">
          <color rgb="FF001489"/>
        </left>
        <right style="thin">
          <color rgb="FF001489"/>
        </right>
        <top style="thin">
          <color auto="1"/>
        </top>
        <bottom style="thin">
          <color auto="1"/>
        </bottom>
        <vertical style="thin">
          <color rgb="FF145A99"/>
        </vertical>
        <horizontal style="thin">
          <color rgb="FF145A99"/>
        </horizontal>
      </border>
      <protection locked="0" hidden="0"/>
    </dxf>
    <dxf>
      <alignment horizontal="general" vertical="top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outline val="0"/>
        <shadow val="0"/>
        <u val="none"/>
        <vertAlign val="baseline"/>
        <sz val="12"/>
        <color theme="1"/>
        <name val="Calibri"/>
        <scheme val="minor"/>
      </font>
      <alignment horizontal="left" vertical="top" textRotation="0" wrapText="0" indent="0" justifyLastLine="0" shrinkToFit="0" readingOrder="0"/>
      <border diagonalUp="0" diagonalDown="0">
        <left style="medium">
          <color rgb="FF001489"/>
        </left>
        <right style="thin">
          <color rgb="FF001489"/>
        </right>
        <top style="thin">
          <color auto="1"/>
        </top>
        <bottom style="thin">
          <color auto="1"/>
        </bottom>
        <vertical style="thin">
          <color rgb="FF145A99"/>
        </vertical>
        <horizontal style="thin">
          <color rgb="FF145A99"/>
        </horizontal>
      </border>
      <protection locked="0" hidden="0"/>
    </dxf>
    <dxf>
      <alignment horizontal="general" vertical="top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outline val="0"/>
        <shadow val="0"/>
        <u val="none"/>
        <vertAlign val="baseline"/>
        <sz val="12"/>
        <color theme="1"/>
        <name val="Calibri"/>
        <scheme val="minor"/>
      </font>
      <alignment horizontal="center" vertical="top" textRotation="0" wrapText="0" indent="0" justifyLastLine="0" shrinkToFit="0" readingOrder="0"/>
      <border diagonalUp="0" diagonalDown="0">
        <left style="thin">
          <color rgb="FF001489"/>
        </left>
        <right style="medium">
          <color rgb="FF001489"/>
        </right>
        <top style="thin">
          <color auto="1"/>
        </top>
        <bottom style="thin">
          <color auto="1"/>
        </bottom>
      </border>
      <protection locked="0" hidden="0"/>
    </dxf>
    <dxf>
      <alignment horizontal="general" vertical="top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outline val="0"/>
        <shadow val="0"/>
        <u val="none"/>
        <vertAlign val="baseline"/>
        <sz val="12"/>
        <color theme="1"/>
        <name val="Calibri"/>
        <scheme val="minor"/>
      </font>
      <alignment horizontal="center" vertical="top" textRotation="0" wrapText="0" indent="0" justifyLastLine="0" shrinkToFit="0" readingOrder="0"/>
      <border diagonalUp="0" diagonalDown="0">
        <left style="medium">
          <color rgb="FF001489"/>
        </left>
        <right style="thin">
          <color rgb="FF001489"/>
        </right>
        <top style="thin">
          <color auto="1"/>
        </top>
        <bottom style="thin">
          <color auto="1"/>
        </bottom>
      </border>
      <protection locked="0" hidden="0"/>
    </dxf>
    <dxf>
      <numFmt numFmtId="30" formatCode="@"/>
      <alignment horizontal="general" vertical="top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outline val="0"/>
        <shadow val="0"/>
        <u val="none"/>
        <vertAlign val="baseline"/>
        <sz val="12"/>
        <color theme="1"/>
        <name val="Calibri"/>
        <scheme val="minor"/>
      </font>
      <numFmt numFmtId="30" formatCode="@"/>
      <alignment horizontal="general" vertical="top" textRotation="0" wrapText="0" indent="0" justifyLastLine="0" shrinkToFit="0" readingOrder="0"/>
      <border diagonalUp="0" diagonalDown="0">
        <left style="thin">
          <color rgb="FF001489"/>
        </left>
        <right style="medium">
          <color rgb="FF001489"/>
        </right>
        <top style="thin">
          <color auto="1"/>
        </top>
        <bottom style="thin">
          <color auto="1"/>
        </bottom>
        <vertical style="thin">
          <color rgb="FF145A99"/>
        </vertical>
        <horizontal style="thin">
          <color rgb="FF145A99"/>
        </horizontal>
      </border>
      <protection locked="0" hidden="0"/>
    </dxf>
    <dxf>
      <alignment horizontal="general" vertical="top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outline val="0"/>
        <shadow val="0"/>
        <u val="none"/>
        <vertAlign val="baseline"/>
        <sz val="12"/>
        <color theme="1"/>
        <name val="Calibri"/>
        <scheme val="minor"/>
      </font>
      <alignment horizontal="general" vertical="top" textRotation="0" wrapText="0" indent="0" justifyLastLine="0" shrinkToFit="0" readingOrder="0"/>
      <border diagonalUp="0" diagonalDown="0">
        <left style="thin">
          <color rgb="FF001489"/>
        </left>
        <right style="thin">
          <color rgb="FF001489"/>
        </right>
        <top style="thin">
          <color auto="1"/>
        </top>
        <bottom style="thin">
          <color auto="1"/>
        </bottom>
        <vertical style="thin">
          <color rgb="FF145A99"/>
        </vertical>
        <horizontal style="thin">
          <color rgb="FF145A99"/>
        </horizontal>
      </border>
      <protection locked="0" hidden="0"/>
    </dxf>
    <dxf>
      <numFmt numFmtId="30" formatCode="@"/>
      <alignment horizontal="general" vertical="top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outline val="0"/>
        <shadow val="0"/>
        <u val="none"/>
        <vertAlign val="baseline"/>
        <sz val="12"/>
        <color theme="1"/>
        <name val="Calibri"/>
        <scheme val="minor"/>
      </font>
      <numFmt numFmtId="30" formatCode="@"/>
      <alignment horizontal="general" vertical="top" textRotation="0" wrapText="0" indent="0" justifyLastLine="0" shrinkToFit="0" readingOrder="0"/>
      <border diagonalUp="0" diagonalDown="0">
        <left style="thin">
          <color rgb="FF001489"/>
        </left>
        <right style="thin">
          <color rgb="FF001489"/>
        </right>
        <top style="thin">
          <color auto="1"/>
        </top>
        <bottom style="thin">
          <color auto="1"/>
        </bottom>
        <vertical style="thin">
          <color rgb="FF145A99"/>
        </vertical>
        <horizontal style="thin">
          <color rgb="FF145A99"/>
        </horizontal>
      </border>
      <protection locked="0" hidden="0"/>
    </dxf>
    <dxf>
      <numFmt numFmtId="30" formatCode="@"/>
      <alignment horizontal="general" vertical="top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outline val="0"/>
        <shadow val="0"/>
        <u val="none"/>
        <vertAlign val="baseline"/>
        <sz val="12"/>
        <color theme="1"/>
        <name val="Calibri"/>
        <scheme val="minor"/>
      </font>
      <numFmt numFmtId="30" formatCode="@"/>
      <alignment horizontal="general" vertical="top" textRotation="0" wrapText="0" indent="0" justifyLastLine="0" shrinkToFit="0" readingOrder="0"/>
      <border diagonalUp="0" diagonalDown="0">
        <left style="thin">
          <color rgb="FF001489"/>
        </left>
        <right style="thin">
          <color rgb="FF001489"/>
        </right>
        <top style="thin">
          <color auto="1"/>
        </top>
        <bottom style="thin">
          <color auto="1"/>
        </bottom>
        <vertical style="thin">
          <color rgb="FF145A99"/>
        </vertical>
        <horizontal style="thin">
          <color rgb="FF145A99"/>
        </horizontal>
      </border>
      <protection locked="0" hidden="0"/>
    </dxf>
    <dxf>
      <numFmt numFmtId="170" formatCode="hh:mm;@"/>
      <alignment horizontal="general" vertical="top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outline val="0"/>
        <shadow val="0"/>
        <u val="none"/>
        <vertAlign val="baseline"/>
        <sz val="12"/>
        <color theme="1"/>
        <name val="Calibri"/>
        <scheme val="minor"/>
      </font>
      <numFmt numFmtId="170" formatCode="hh:mm;@"/>
      <alignment horizontal="center" vertical="top" textRotation="0" wrapText="0" indent="0" justifyLastLine="0" shrinkToFit="0" readingOrder="0"/>
      <border diagonalUp="0" diagonalDown="0">
        <left style="thin">
          <color rgb="FF001489"/>
        </left>
        <right style="thin">
          <color rgb="FF001489"/>
        </right>
        <top style="thin">
          <color auto="1"/>
        </top>
        <bottom style="thin">
          <color auto="1"/>
        </bottom>
      </border>
      <protection locked="0" hidden="0"/>
    </dxf>
    <dxf>
      <numFmt numFmtId="169" formatCode="mmm\ [$-809]dd\ ;@"/>
      <alignment horizontal="general" vertical="top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outline val="0"/>
        <shadow val="0"/>
        <u val="none"/>
        <vertAlign val="baseline"/>
        <sz val="12"/>
        <color theme="1"/>
        <name val="Calibri"/>
        <scheme val="minor"/>
      </font>
      <numFmt numFmtId="169" formatCode="mmm\ [$-809]dd\ ;@"/>
      <alignment horizontal="general" vertical="top" textRotation="0" wrapText="0" indent="0" justifyLastLine="0" shrinkToFit="0" readingOrder="0"/>
      <border diagonalUp="0" diagonalDown="0">
        <left style="medium">
          <color rgb="FF001489"/>
        </left>
        <right style="thin">
          <color rgb="FF001489"/>
        </right>
        <top style="thin">
          <color auto="1"/>
        </top>
        <bottom style="thin">
          <color auto="1"/>
        </bottom>
        <vertical style="thin">
          <color rgb="FF145A99"/>
        </vertical>
        <horizontal style="thin">
          <color rgb="FF145A99"/>
        </horizontal>
      </border>
      <protection locked="0" hidden="0"/>
    </dxf>
    <dxf>
      <numFmt numFmtId="30" formatCode="@"/>
      <alignment horizontal="general" vertical="top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outline val="0"/>
        <shadow val="0"/>
        <u val="none"/>
        <vertAlign val="baseline"/>
        <sz val="12"/>
        <color theme="1"/>
        <name val="Calibri"/>
        <scheme val="minor"/>
      </font>
      <numFmt numFmtId="30" formatCode="@"/>
      <alignment horizontal="general" vertical="top" textRotation="0" wrapText="0" indent="0" justifyLastLine="0" shrinkToFit="0" readingOrder="0"/>
      <border diagonalUp="0" diagonalDown="0">
        <left style="thin">
          <color rgb="FF001489"/>
        </left>
        <right style="medium">
          <color rgb="FF001489"/>
        </right>
        <top style="thin">
          <color auto="1"/>
        </top>
        <bottom style="thin">
          <color auto="1"/>
        </bottom>
        <vertical style="thin">
          <color rgb="FF145A99"/>
        </vertical>
        <horizontal style="thin">
          <color rgb="FF145A99"/>
        </horizontal>
      </border>
      <protection locked="0" hidden="0"/>
    </dxf>
    <dxf>
      <alignment horizontal="general" vertical="top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outline val="0"/>
        <shadow val="0"/>
        <u val="none"/>
        <vertAlign val="baseline"/>
        <sz val="12"/>
        <color theme="1"/>
        <name val="Calibri"/>
        <scheme val="minor"/>
      </font>
      <alignment horizontal="general" vertical="top" textRotation="0" wrapText="0" indent="0" justifyLastLine="0" shrinkToFit="0" readingOrder="0"/>
      <border diagonalUp="0" diagonalDown="0">
        <left style="thin">
          <color rgb="FF001489"/>
        </left>
        <right style="thin">
          <color rgb="FF001489"/>
        </right>
        <top style="thin">
          <color auto="1"/>
        </top>
        <bottom style="thin">
          <color auto="1"/>
        </bottom>
        <vertical style="thin">
          <color rgb="FF145A99"/>
        </vertical>
        <horizontal style="thin">
          <color rgb="FF145A99"/>
        </horizontal>
      </border>
      <protection locked="0" hidden="0"/>
    </dxf>
    <dxf>
      <alignment horizontal="general" vertical="top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outline val="0"/>
        <shadow val="0"/>
        <u val="none"/>
        <vertAlign val="baseline"/>
        <sz val="12"/>
        <color theme="1"/>
        <name val="Calibri"/>
        <scheme val="minor"/>
      </font>
      <alignment horizontal="general" vertical="top" textRotation="0" wrapText="0" indent="0" justifyLastLine="0" shrinkToFit="0" readingOrder="0"/>
      <border diagonalUp="0" diagonalDown="0">
        <left style="thin">
          <color rgb="FF001489"/>
        </left>
        <right style="thin">
          <color rgb="FF001489"/>
        </right>
        <top style="thin">
          <color auto="1"/>
        </top>
        <bottom style="thin">
          <color auto="1"/>
        </bottom>
        <vertical style="thin">
          <color rgb="FF145A99"/>
        </vertical>
        <horizontal style="thin">
          <color rgb="FF145A99"/>
        </horizontal>
      </border>
      <protection locked="0" hidden="0"/>
    </dxf>
    <dxf>
      <numFmt numFmtId="30" formatCode="@"/>
      <alignment horizontal="general" vertical="top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outline val="0"/>
        <shadow val="0"/>
        <u val="none"/>
        <vertAlign val="baseline"/>
        <sz val="12"/>
        <color theme="1"/>
        <name val="Calibri"/>
        <scheme val="minor"/>
      </font>
      <numFmt numFmtId="30" formatCode="@"/>
      <alignment horizontal="general" vertical="top" textRotation="0" wrapText="0" indent="0" justifyLastLine="0" shrinkToFit="0" readingOrder="0"/>
      <border diagonalUp="0" diagonalDown="0">
        <left style="thin">
          <color rgb="FF001489"/>
        </left>
        <right style="thin">
          <color rgb="FF001489"/>
        </right>
        <top style="thin">
          <color auto="1"/>
        </top>
        <bottom style="thin">
          <color auto="1"/>
        </bottom>
        <vertical style="thin">
          <color rgb="FF145A99"/>
        </vertical>
        <horizontal style="thin">
          <color rgb="FF145A99"/>
        </horizontal>
      </border>
      <protection locked="0" hidden="0"/>
    </dxf>
    <dxf>
      <numFmt numFmtId="170" formatCode="hh:mm;@"/>
      <alignment horizontal="general" vertical="top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outline val="0"/>
        <shadow val="0"/>
        <u val="none"/>
        <vertAlign val="baseline"/>
        <sz val="12"/>
        <color theme="1"/>
        <name val="Calibri"/>
        <scheme val="minor"/>
      </font>
      <numFmt numFmtId="170" formatCode="hh:mm;@"/>
      <alignment horizontal="center" vertical="top" textRotation="0" wrapText="0" indent="0" justifyLastLine="0" shrinkToFit="0" readingOrder="0"/>
      <border diagonalUp="0" diagonalDown="0">
        <left style="thin">
          <color rgb="FF001489"/>
        </left>
        <right style="thin">
          <color rgb="FF001489"/>
        </right>
        <top style="thin">
          <color auto="1"/>
        </top>
        <bottom style="thin">
          <color auto="1"/>
        </bottom>
      </border>
      <protection locked="0" hidden="0"/>
    </dxf>
    <dxf>
      <numFmt numFmtId="169" formatCode="mmm\ [$-809]dd\ ;@"/>
      <alignment horizontal="general" vertical="top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outline val="0"/>
        <shadow val="0"/>
        <u val="none"/>
        <vertAlign val="baseline"/>
        <sz val="12"/>
        <color theme="1"/>
        <name val="Calibri"/>
        <scheme val="minor"/>
      </font>
      <numFmt numFmtId="169" formatCode="mmm\ [$-809]dd\ ;@"/>
      <alignment horizontal="general" vertical="top" textRotation="0" wrapText="0" indent="0" justifyLastLine="0" shrinkToFit="0" readingOrder="0"/>
      <border diagonalUp="0" diagonalDown="0">
        <left style="medium">
          <color rgb="FF001489"/>
        </left>
        <right style="thin">
          <color rgb="FF001489"/>
        </right>
        <top style="thin">
          <color auto="1"/>
        </top>
        <bottom style="thin">
          <color auto="1"/>
        </bottom>
        <vertical style="thin">
          <color rgb="FF145A99"/>
        </vertical>
        <horizontal style="thin">
          <color rgb="FF145A99"/>
        </horizontal>
      </border>
      <protection locked="0" hidden="0"/>
    </dxf>
    <dxf>
      <numFmt numFmtId="168" formatCode="[$-809]dd\ mmm\ yyyy;@"/>
      <alignment horizontal="general" vertical="top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outline val="0"/>
        <shadow val="0"/>
        <u val="none"/>
        <vertAlign val="baseline"/>
        <sz val="12"/>
        <color theme="1"/>
        <name val="Calibri"/>
        <scheme val="minor"/>
      </font>
      <numFmt numFmtId="168" formatCode="[$-809]dd\ mmm\ yyyy;@"/>
      <alignment horizontal="general" vertical="top" textRotation="0" wrapText="0" indent="0" justifyLastLine="0" shrinkToFit="0" readingOrder="0"/>
      <border diagonalUp="0" diagonalDown="0">
        <left style="thin">
          <color rgb="FF001489"/>
        </left>
        <right style="medium">
          <color rgb="FF001489"/>
        </right>
        <top style="thin">
          <color auto="1"/>
        </top>
        <bottom style="thin">
          <color auto="1"/>
        </bottom>
        <vertical style="thin">
          <color rgb="FF145A99"/>
        </vertical>
        <horizontal style="thin">
          <color rgb="FF145A99"/>
        </horizontal>
      </border>
      <protection locked="0" hidden="0"/>
    </dxf>
    <dxf>
      <numFmt numFmtId="168" formatCode="[$-809]dd\ mmm\ yyyy;@"/>
      <alignment horizontal="general" vertical="top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outline val="0"/>
        <shadow val="0"/>
        <u val="none"/>
        <vertAlign val="baseline"/>
        <sz val="12"/>
        <color theme="1"/>
        <name val="Calibri"/>
        <scheme val="minor"/>
      </font>
      <numFmt numFmtId="168" formatCode="[$-809]dd\ mmm\ yyyy;@"/>
      <alignment horizontal="general" vertical="top" textRotation="0" wrapText="0" indent="0" justifyLastLine="0" shrinkToFit="0" readingOrder="0"/>
      <border diagonalUp="0" diagonalDown="0">
        <left style="thin">
          <color rgb="FF001489"/>
        </left>
        <right style="thin">
          <color rgb="FF001489"/>
        </right>
        <top style="thin">
          <color auto="1"/>
        </top>
        <bottom style="thin">
          <color auto="1"/>
        </bottom>
        <vertical style="thin">
          <color rgb="FF145A99"/>
        </vertical>
        <horizontal style="thin">
          <color rgb="FF145A99"/>
        </horizontal>
      </border>
      <protection locked="0" hidden="0"/>
    </dxf>
    <dxf>
      <numFmt numFmtId="30" formatCode="@"/>
      <alignment horizontal="general" vertical="top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outline val="0"/>
        <shadow val="0"/>
        <u val="none"/>
        <vertAlign val="baseline"/>
        <sz val="12"/>
        <color theme="1"/>
        <name val="Calibri"/>
        <scheme val="minor"/>
      </font>
      <numFmt numFmtId="30" formatCode="@"/>
      <alignment horizontal="general" vertical="top" textRotation="0" wrapText="0" indent="0" justifyLastLine="0" shrinkToFit="0" readingOrder="0"/>
      <border diagonalUp="0" diagonalDown="0">
        <left style="thin">
          <color rgb="FF001489"/>
        </left>
        <right style="thin">
          <color rgb="FF001489"/>
        </right>
        <top style="thin">
          <color auto="1"/>
        </top>
        <bottom style="thin">
          <color auto="1"/>
        </bottom>
        <vertical style="thin">
          <color rgb="FF145A99"/>
        </vertical>
        <horizontal style="thin">
          <color rgb="FF145A99"/>
        </horizontal>
      </border>
      <protection locked="0" hidden="0"/>
    </dxf>
    <dxf>
      <numFmt numFmtId="30" formatCode="@"/>
      <alignment horizontal="general" vertical="top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outline val="0"/>
        <shadow val="0"/>
        <u val="none"/>
        <vertAlign val="baseline"/>
        <sz val="12"/>
        <color theme="1"/>
        <name val="Calibri"/>
        <scheme val="minor"/>
      </font>
      <numFmt numFmtId="30" formatCode="@"/>
      <alignment horizontal="general" vertical="top" textRotation="0" wrapText="0" indent="0" justifyLastLine="0" shrinkToFit="0" readingOrder="0"/>
      <border diagonalUp="0" diagonalDown="0">
        <left style="thin">
          <color rgb="FF001489"/>
        </left>
        <right style="thin">
          <color rgb="FF001489"/>
        </right>
        <top style="thin">
          <color auto="1"/>
        </top>
        <bottom style="thin">
          <color auto="1"/>
        </bottom>
        <vertical style="thin">
          <color rgb="FF145A99"/>
        </vertical>
        <horizontal style="thin">
          <color rgb="FF145A99"/>
        </horizontal>
      </border>
      <protection locked="0" hidden="0"/>
    </dxf>
    <dxf>
      <numFmt numFmtId="30" formatCode="@"/>
      <alignment horizontal="general" vertical="top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outline val="0"/>
        <shadow val="0"/>
        <u val="none"/>
        <vertAlign val="baseline"/>
        <sz val="12"/>
        <color theme="1"/>
        <name val="Calibri"/>
        <scheme val="minor"/>
      </font>
      <numFmt numFmtId="30" formatCode="@"/>
      <alignment horizontal="general" vertical="top" textRotation="0" wrapText="0" indent="0" justifyLastLine="0" shrinkToFit="0" readingOrder="0"/>
      <border diagonalUp="0" diagonalDown="0">
        <left style="thin">
          <color rgb="FF001489"/>
        </left>
        <right style="thin">
          <color rgb="FF001489"/>
        </right>
        <top style="thin">
          <color auto="1"/>
        </top>
        <bottom style="thin">
          <color auto="1"/>
        </bottom>
        <vertical style="thin">
          <color rgb="FF145A99"/>
        </vertical>
        <horizontal style="thin">
          <color rgb="FF145A99"/>
        </horizontal>
      </border>
      <protection locked="0" hidden="0"/>
    </dxf>
    <dxf>
      <alignment horizontal="center" vertical="top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outline val="0"/>
        <shadow val="0"/>
        <u val="none"/>
        <vertAlign val="baseline"/>
        <sz val="12"/>
        <color theme="1"/>
        <name val="Calibri"/>
        <scheme val="minor"/>
      </font>
      <alignment horizontal="center" vertical="top" textRotation="0" wrapText="0" indent="0" justifyLastLine="0" shrinkToFit="0" readingOrder="0"/>
      <border diagonalUp="0" diagonalDown="0">
        <left style="medium">
          <color rgb="FF001489"/>
        </left>
        <right style="thin">
          <color rgb="FF001489"/>
        </right>
        <top style="thin">
          <color auto="1"/>
        </top>
        <bottom style="thin">
          <color auto="1"/>
        </bottom>
        <vertical style="thin">
          <color rgb="FF145A99"/>
        </vertical>
        <horizontal style="thin">
          <color rgb="FF145A99"/>
        </horizontal>
      </border>
      <protection locked="0" hidden="0"/>
    </dxf>
    <dxf>
      <alignment horizontal="center" vertical="top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outline val="0"/>
        <shadow val="0"/>
        <u val="none"/>
        <vertAlign val="baseline"/>
        <sz val="12"/>
        <color theme="1"/>
        <name val="Calibri"/>
        <scheme val="minor"/>
      </font>
      <alignment horizontal="center" vertical="top" textRotation="0" wrapText="0" indent="0" justifyLastLine="0" shrinkToFit="0" readingOrder="0"/>
      <border diagonalUp="0" diagonalDown="0">
        <left style="thin">
          <color rgb="FF001489"/>
        </left>
        <right style="medium">
          <color rgb="FF001489"/>
        </right>
        <top style="thin">
          <color auto="1"/>
        </top>
        <bottom style="thin">
          <color auto="1"/>
        </bottom>
        <vertical style="thin">
          <color rgb="FF145A99"/>
        </vertical>
        <horizontal style="thin">
          <color rgb="FF145A99"/>
        </horizontal>
      </border>
      <protection locked="0" hidden="0"/>
    </dxf>
    <dxf>
      <numFmt numFmtId="30" formatCode="@"/>
      <alignment horizontal="general" vertical="top" textRotation="0" wrapText="1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outline val="0"/>
        <shadow val="0"/>
        <u val="none"/>
        <vertAlign val="baseline"/>
        <sz val="12"/>
        <color theme="1"/>
        <name val="Calibri"/>
        <scheme val="minor"/>
      </font>
      <numFmt numFmtId="30" formatCode="@"/>
      <alignment horizontal="general" vertical="top" textRotation="0" wrapText="1" indent="0" justifyLastLine="0" shrinkToFit="0" readingOrder="0"/>
      <border diagonalUp="0" diagonalDown="0">
        <left style="thin">
          <color rgb="FF001489"/>
        </left>
        <right style="thin">
          <color rgb="FF001489"/>
        </right>
        <top style="thin">
          <color auto="1"/>
        </top>
        <bottom style="thin">
          <color auto="1"/>
        </bottom>
        <vertical style="thin">
          <color rgb="FF145A99"/>
        </vertical>
        <horizontal style="thin">
          <color rgb="FF145A99"/>
        </horizontal>
      </border>
      <protection locked="0" hidden="0"/>
    </dxf>
    <dxf>
      <numFmt numFmtId="168" formatCode="[$-809]dd\ mmm\ yyyy;@"/>
      <alignment horizontal="general" vertical="top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outline val="0"/>
        <shadow val="0"/>
        <u val="none"/>
        <vertAlign val="baseline"/>
        <sz val="12"/>
        <color theme="1"/>
        <name val="Calibri"/>
        <scheme val="minor"/>
      </font>
      <numFmt numFmtId="168" formatCode="[$-809]dd\ mmm\ yyyy;@"/>
      <alignment horizontal="general" vertical="top" textRotation="0" wrapText="0" indent="0" justifyLastLine="0" shrinkToFit="0" readingOrder="0"/>
      <border diagonalUp="0" diagonalDown="0">
        <left style="thin">
          <color rgb="FF001489"/>
        </left>
        <right style="thin">
          <color rgb="FF001489"/>
        </right>
        <top style="thin">
          <color auto="1"/>
        </top>
        <bottom style="thin">
          <color auto="1"/>
        </bottom>
        <vertical style="thin">
          <color rgb="FF145A99"/>
        </vertical>
        <horizontal style="thin">
          <color rgb="FF145A99"/>
        </horizontal>
      </border>
      <protection locked="0" hidden="0"/>
    </dxf>
    <dxf>
      <alignment horizontal="left" vertical="top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outline val="0"/>
        <shadow val="0"/>
        <u val="none"/>
        <vertAlign val="baseline"/>
        <sz val="12"/>
        <color theme="1"/>
        <name val="Calibri"/>
        <scheme val="minor"/>
      </font>
      <alignment horizontal="left" vertical="top" textRotation="0" wrapText="0" indent="0" justifyLastLine="0" shrinkToFit="0" readingOrder="0"/>
      <border diagonalUp="0" diagonalDown="0">
        <left style="thin">
          <color rgb="FF001489"/>
        </left>
        <right style="thin">
          <color rgb="FF001489"/>
        </right>
        <top style="thin">
          <color auto="1"/>
        </top>
        <bottom style="thin">
          <color auto="1"/>
        </bottom>
        <vertical style="thin">
          <color rgb="FF145A99"/>
        </vertical>
        <horizontal style="thin">
          <color rgb="FF145A99"/>
        </horizontal>
      </border>
      <protection locked="0" hidden="0"/>
    </dxf>
    <dxf>
      <numFmt numFmtId="30" formatCode="@"/>
      <alignment horizontal="general" vertical="top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outline val="0"/>
        <shadow val="0"/>
        <u val="none"/>
        <vertAlign val="baseline"/>
        <sz val="12"/>
        <color theme="1"/>
        <name val="Calibri"/>
        <scheme val="minor"/>
      </font>
      <numFmt numFmtId="30" formatCode="@"/>
      <alignment horizontal="general" vertical="top" textRotation="0" wrapText="0" indent="0" justifyLastLine="0" shrinkToFit="0" readingOrder="0"/>
      <border diagonalUp="0" diagonalDown="0">
        <left style="thin">
          <color rgb="FF001489"/>
        </left>
        <right style="thin">
          <color rgb="FF001489"/>
        </right>
        <top style="thin">
          <color auto="1"/>
        </top>
        <bottom style="thin">
          <color auto="1"/>
        </bottom>
        <vertical style="thin">
          <color rgb="FF145A99"/>
        </vertical>
        <horizontal style="thin">
          <color rgb="FF145A99"/>
        </horizontal>
      </border>
      <protection locked="0" hidden="0"/>
    </dxf>
    <dxf>
      <numFmt numFmtId="30" formatCode="@"/>
      <alignment horizontal="general" vertical="top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outline val="0"/>
        <shadow val="0"/>
        <u val="none"/>
        <vertAlign val="baseline"/>
        <sz val="12"/>
        <color theme="1"/>
        <name val="Calibri"/>
        <scheme val="minor"/>
      </font>
      <numFmt numFmtId="30" formatCode="@"/>
      <alignment horizontal="general" vertical="top" textRotation="0" wrapText="0" indent="0" justifyLastLine="0" shrinkToFit="0" readingOrder="0"/>
      <border diagonalUp="0" diagonalDown="0">
        <left style="medium">
          <color rgb="FF001489"/>
        </left>
        <right style="thin">
          <color rgb="FF001489"/>
        </right>
        <top style="thin">
          <color auto="1"/>
        </top>
        <bottom style="thin">
          <color auto="1"/>
        </bottom>
        <vertical style="thin">
          <color rgb="FF145A99"/>
        </vertical>
        <horizontal style="thin">
          <color rgb="FF145A99"/>
        </horizontal>
      </border>
      <protection locked="0" hidden="0"/>
    </dxf>
    <dxf>
      <numFmt numFmtId="167" formatCode="0&quot;.&quot;"/>
      <alignment horizontal="general" vertical="top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outline val="0"/>
        <shadow val="0"/>
        <u val="none"/>
        <vertAlign val="baseline"/>
        <sz val="12"/>
        <color theme="1"/>
        <name val="Calibri"/>
        <scheme val="minor"/>
      </font>
      <numFmt numFmtId="167" formatCode="0&quot;.&quot;"/>
      <alignment horizontal="general" vertical="top" textRotation="0" wrapText="0" indent="0" justifyLastLine="0" shrinkToFit="0" readingOrder="0"/>
      <border diagonalUp="0" diagonalDown="0">
        <left style="medium">
          <color rgb="FF001489"/>
        </left>
        <right style="thin">
          <color rgb="FF001489"/>
        </right>
        <top style="thin">
          <color rgb="FF001489"/>
        </top>
        <bottom style="thin">
          <color rgb="FF001489"/>
        </bottom>
        <vertical/>
        <horizontal style="thin">
          <color rgb="FF145A99"/>
        </horizontal>
      </border>
    </dxf>
    <dxf>
      <numFmt numFmtId="167" formatCode="0&quot;.&quot;"/>
      <alignment horizontal="general" vertical="top" textRotation="0" wrapText="0" indent="0" justifyLastLine="0" shrinkToFit="0" readingOrder="0"/>
      <border diagonalUp="0" diagonalDown="0" outline="0">
        <left/>
        <right/>
        <top/>
        <bottom/>
      </border>
    </dxf>
    <dxf>
      <numFmt numFmtId="0" formatCode="General"/>
      <alignment horizontal="general" vertical="top" textRotation="0" wrapText="0" indent="0" justifyLastLine="0" shrinkToFit="0" readingOrder="0"/>
      <border diagonalUp="0" diagonalDown="0">
        <left style="medium">
          <color rgb="FF145A99"/>
        </left>
        <right/>
        <top style="thin">
          <color rgb="FF145A99"/>
        </top>
        <bottom style="thin">
          <color rgb="FF145A99"/>
        </bottom>
        <vertical/>
        <horizontal/>
      </border>
    </dxf>
    <dxf>
      <numFmt numFmtId="167" formatCode="0&quot;.&quot;"/>
      <alignment horizontal="general" vertical="top" textRotation="0" wrapText="0" indent="0" justifyLastLine="0" shrinkToFit="0" readingOrder="0"/>
      <border diagonalUp="0" diagonalDown="0" outline="0">
        <left/>
        <right/>
        <top/>
        <bottom/>
      </border>
    </dxf>
    <dxf>
      <numFmt numFmtId="0" formatCode="General"/>
      <alignment horizontal="general" vertical="top" textRotation="0" wrapText="0" indent="0" justifyLastLine="0" shrinkToFit="0" readingOrder="0"/>
      <border diagonalUp="0" diagonalDown="0">
        <left style="medium">
          <color rgb="FF145A99"/>
        </left>
        <right/>
        <top style="thin">
          <color rgb="FF145A99"/>
        </top>
        <bottom style="thin">
          <color rgb="FF145A99"/>
        </bottom>
        <vertical/>
        <horizontal/>
      </border>
    </dxf>
    <dxf>
      <numFmt numFmtId="167" formatCode="0&quot;.&quot;"/>
      <alignment horizontal="general" vertical="top" textRotation="0" wrapText="0" indent="0" justifyLastLine="0" shrinkToFit="0" readingOrder="0"/>
      <border diagonalUp="0" diagonalDown="0" outline="0">
        <left/>
        <right/>
        <top/>
        <bottom/>
      </border>
    </dxf>
    <dxf>
      <numFmt numFmtId="0" formatCode="General"/>
      <alignment horizontal="general" vertical="top" textRotation="0" wrapText="0" indent="0" justifyLastLine="0" shrinkToFit="0" readingOrder="0"/>
      <border diagonalUp="0" diagonalDown="0">
        <left style="medium">
          <color rgb="FF145A99"/>
        </left>
        <right/>
        <top style="thin">
          <color rgb="FF145A99"/>
        </top>
        <bottom style="thin">
          <color rgb="FF145A99"/>
        </bottom>
        <vertical/>
        <horizontal/>
      </border>
    </dxf>
    <dxf>
      <numFmt numFmtId="167" formatCode="0&quot;.&quot;"/>
      <alignment horizontal="general" vertical="top" textRotation="0" wrapText="0" indent="0" justifyLastLine="0" shrinkToFit="0" readingOrder="0"/>
      <border diagonalUp="0" diagonalDown="0" outline="0">
        <left/>
        <right/>
        <top/>
        <bottom/>
      </border>
    </dxf>
    <dxf>
      <numFmt numFmtId="0" formatCode="General"/>
      <alignment horizontal="general" vertical="top" textRotation="0" wrapText="0" indent="0" justifyLastLine="0" shrinkToFit="0" readingOrder="0"/>
      <border diagonalUp="0" diagonalDown="0">
        <left style="medium">
          <color rgb="FF145A99"/>
        </left>
        <right style="thin">
          <color rgb="FF145A99"/>
        </right>
        <top style="thin">
          <color rgb="FF145A99"/>
        </top>
        <bottom style="thin">
          <color rgb="FF145A99"/>
        </bottom>
        <vertical style="thin">
          <color rgb="FF145A99"/>
        </vertical>
        <horizontal style="thin">
          <color rgb="FF145A99"/>
        </horizontal>
      </border>
    </dxf>
    <dxf>
      <border outline="0">
        <left style="medium">
          <color rgb="FF145A99"/>
        </left>
        <right style="medium">
          <color rgb="FF145A99"/>
        </right>
        <top style="thin">
          <color rgb="FF145A99"/>
        </top>
        <bottom style="medium">
          <color rgb="FF145A99"/>
        </bottom>
      </border>
    </dxf>
    <dxf>
      <alignment horizontal="general" vertical="top" textRotation="0" wrapText="0" indent="0" justifyLastLine="0" shrinkToFit="0" readingOrder="0"/>
    </dxf>
    <dxf>
      <border>
        <bottom style="medium">
          <color rgb="FF145A99"/>
        </bottom>
      </border>
    </dxf>
    <dxf>
      <font>
        <b val="0"/>
        <i val="0"/>
        <strike val="0"/>
        <outline val="0"/>
        <shadow val="0"/>
        <u val="none"/>
        <vertAlign val="baseline"/>
        <sz val="12"/>
        <color rgb="FF145A99"/>
        <name val="Calibri"/>
        <scheme val="minor"/>
      </font>
      <numFmt numFmtId="165" formatCode="mmm\ [$-809]dd;@"/>
      <fill>
        <patternFill patternType="solid">
          <fgColor indexed="64"/>
          <bgColor rgb="FFDCE8F2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rgb="FF145A99"/>
        </left>
        <right style="thin">
          <color rgb="FF145A99"/>
        </right>
        <top/>
        <bottom/>
        <vertical style="thin">
          <color rgb="FF145A99"/>
        </vertical>
        <horizontal style="thin">
          <color auto="1"/>
        </horizontal>
      </border>
    </dxf>
    <dxf>
      <font>
        <color rgb="FF9C0006"/>
      </font>
      <fill>
        <patternFill>
          <bgColor theme="0" tint="-0.24994659260841701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 patternType="lightUp">
          <bgColor theme="0" tint="-0.34998626667073579"/>
        </patternFill>
      </fill>
    </dxf>
    <dxf>
      <font>
        <color rgb="FF9C0006"/>
      </font>
      <fill>
        <patternFill patternType="lightUp">
          <bgColor theme="0" tint="-0.34998626667073579"/>
        </patternFill>
      </fill>
    </dxf>
    <dxf>
      <font>
        <color rgb="FF9C0006"/>
      </font>
      <fill>
        <patternFill>
          <bgColor rgb="FFFFC7CE"/>
        </patternFill>
      </fill>
    </dxf>
    <dxf>
      <font>
        <strike/>
        <color theme="0" tint="-0.499984740745262"/>
      </font>
      <fill>
        <patternFill>
          <bgColor theme="0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theme="0" tint="-0.24994659260841701"/>
        </patternFill>
      </fill>
    </dxf>
    <dxf>
      <font>
        <color rgb="FF9C0006"/>
      </font>
      <fill>
        <patternFill>
          <bgColor theme="0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theme="0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1"/>
      </font>
    </dxf>
    <dxf>
      <font>
        <color theme="1"/>
      </font>
    </dxf>
    <dxf>
      <fill>
        <patternFill>
          <bgColor theme="0" tint="-4.9989318521683403E-2"/>
        </patternFill>
      </fill>
    </dxf>
  </dxfs>
  <tableStyles count="2" defaultTableStyle="TableStyleMedium9" defaultPivotStyle="PivotStyleMedium7">
    <tableStyle name="CheckInListe" pivot="0" count="1" xr9:uid="{00000000-0011-0000-FFFF-FFFF00000000}">
      <tableStyleElement type="firstRowStripe" dxfId="234"/>
    </tableStyle>
    <tableStyle name="Forms EJU" pivot="0" count="2" xr9:uid="{00000000-0011-0000-FFFF-FFFF01000000}">
      <tableStyleElement type="firstRowStripe" dxfId="233"/>
      <tableStyleElement type="secondRowStripe" dxfId="232"/>
    </tableStyle>
  </tableStyles>
  <colors>
    <mruColors>
      <color rgb="FF001489"/>
      <color rgb="FFAF1C0C"/>
      <color rgb="FF145A99"/>
      <color rgb="FFFF5050"/>
      <color rgb="FFDCE8F2"/>
      <color rgb="FFB6DCE2"/>
      <color rgb="FF95B3D7"/>
      <color rgb="FFFFFC00"/>
      <color rgb="FFACACFF"/>
      <color rgb="FFF0B1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5.jpeg"/></Relationships>
</file>

<file path=xl/drawings/_rels/drawing1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5.jpe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3.jpe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3.jpe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4.jpe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4.jpe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4.jpe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4.jpeg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5.jpeg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5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9</xdr:col>
      <xdr:colOff>909811</xdr:colOff>
      <xdr:row>0</xdr:row>
      <xdr:rowOff>97573</xdr:rowOff>
    </xdr:from>
    <xdr:to>
      <xdr:col>10</xdr:col>
      <xdr:colOff>636057</xdr:colOff>
      <xdr:row>1</xdr:row>
      <xdr:rowOff>398953</xdr:rowOff>
    </xdr:to>
    <xdr:pic>
      <xdr:nvPicPr>
        <xdr:cNvPr id="3" name="Bild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293015" y="97573"/>
          <a:ext cx="646498" cy="631181"/>
        </a:xfrm>
        <a:prstGeom prst="rect">
          <a:avLst/>
        </a:prstGeom>
        <a:ln w="25400">
          <a:noFill/>
        </a:ln>
        <a:effectLst/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5</xdr:col>
      <xdr:colOff>619618</xdr:colOff>
      <xdr:row>2</xdr:row>
      <xdr:rowOff>5495</xdr:rowOff>
    </xdr:to>
    <xdr:pic>
      <xdr:nvPicPr>
        <xdr:cNvPr id="5" name="Grafik 4" descr="e1_e3_H klein.jpeg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rcRect l="7122" r="6423"/>
        <a:stretch>
          <a:fillRect/>
        </a:stretch>
      </xdr:blipFill>
      <xdr:spPr>
        <a:xfrm>
          <a:off x="0" y="0"/>
          <a:ext cx="993038" cy="819359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391583</xdr:colOff>
      <xdr:row>4</xdr:row>
      <xdr:rowOff>190501</xdr:rowOff>
    </xdr:from>
    <xdr:to>
      <xdr:col>6</xdr:col>
      <xdr:colOff>762000</xdr:colOff>
      <xdr:row>12</xdr:row>
      <xdr:rowOff>42334</xdr:rowOff>
    </xdr:to>
    <xdr:sp macro="" textlink="">
      <xdr:nvSpPr>
        <xdr:cNvPr id="4" name="Textfeld 3">
          <a:extLst>
            <a:ext uri="{FF2B5EF4-FFF2-40B4-BE49-F238E27FC236}">
              <a16:creationId xmlns:a16="http://schemas.microsoft.com/office/drawing/2014/main" id="{00000000-0008-0000-0B00-000004000000}"/>
            </a:ext>
          </a:extLst>
        </xdr:cNvPr>
        <xdr:cNvSpPr txBox="1"/>
      </xdr:nvSpPr>
      <xdr:spPr>
        <a:xfrm>
          <a:off x="391583" y="1407584"/>
          <a:ext cx="5810250" cy="14605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de-DE" sz="8800" b="1" cap="none" spc="0">
              <a:ln w="9525">
                <a:solidFill>
                  <a:schemeClr val="bg1"/>
                </a:solidFill>
                <a:prstDash val="solid"/>
              </a:ln>
              <a:solidFill>
                <a:schemeClr val="accent5">
                  <a:alpha val="20000"/>
                </a:schemeClr>
              </a:solidFill>
              <a:effectLst>
                <a:outerShdw blurRad="12700" dist="38100" dir="2700000" algn="tl" rotWithShape="0">
                  <a:schemeClr val="accent5">
                    <a:lumMod val="60000"/>
                    <a:lumOff val="40000"/>
                  </a:schemeClr>
                </a:outerShdw>
              </a:effectLst>
            </a:rPr>
            <a:t>Rechnung C</a:t>
          </a:r>
        </a:p>
      </xdr:txBody>
    </xdr:sp>
    <xdr:clientData fPrintsWithSheet="0"/>
  </xdr:twoCellAnchor>
  <xdr:twoCellAnchor editAs="absolute">
    <xdr:from>
      <xdr:col>6</xdr:col>
      <xdr:colOff>433998</xdr:colOff>
      <xdr:row>0</xdr:row>
      <xdr:rowOff>97573</xdr:rowOff>
    </xdr:from>
    <xdr:to>
      <xdr:col>6</xdr:col>
      <xdr:colOff>1080995</xdr:colOff>
      <xdr:row>1</xdr:row>
      <xdr:rowOff>403740</xdr:rowOff>
    </xdr:to>
    <xdr:pic>
      <xdr:nvPicPr>
        <xdr:cNvPr id="5" name="Bild 2">
          <a:extLst>
            <a:ext uri="{FF2B5EF4-FFF2-40B4-BE49-F238E27FC236}">
              <a16:creationId xmlns:a16="http://schemas.microsoft.com/office/drawing/2014/main" id="{00000000-0008-0000-0B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920398" y="97573"/>
          <a:ext cx="646997" cy="631713"/>
        </a:xfrm>
        <a:prstGeom prst="rect">
          <a:avLst/>
        </a:prstGeom>
        <a:ln w="25400">
          <a:noFill/>
        </a:ln>
        <a:effectLst/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570769</xdr:colOff>
      <xdr:row>2</xdr:row>
      <xdr:rowOff>6830</xdr:rowOff>
    </xdr:to>
    <xdr:pic>
      <xdr:nvPicPr>
        <xdr:cNvPr id="6" name="Grafik 5" descr="e1_e3_H klein.jpeg">
          <a:extLst>
            <a:ext uri="{FF2B5EF4-FFF2-40B4-BE49-F238E27FC236}">
              <a16:creationId xmlns:a16="http://schemas.microsoft.com/office/drawing/2014/main" id="{00000000-0008-0000-0B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rcRect l="7122" r="6423"/>
        <a:stretch>
          <a:fillRect/>
        </a:stretch>
      </xdr:blipFill>
      <xdr:spPr>
        <a:xfrm>
          <a:off x="0" y="0"/>
          <a:ext cx="992063" cy="815906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absolute">
    <xdr:from>
      <xdr:col>6</xdr:col>
      <xdr:colOff>433998</xdr:colOff>
      <xdr:row>0</xdr:row>
      <xdr:rowOff>97573</xdr:rowOff>
    </xdr:from>
    <xdr:to>
      <xdr:col>6</xdr:col>
      <xdr:colOff>1080995</xdr:colOff>
      <xdr:row>1</xdr:row>
      <xdr:rowOff>403740</xdr:rowOff>
    </xdr:to>
    <xdr:pic>
      <xdr:nvPicPr>
        <xdr:cNvPr id="2" name="Bild 2"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920398" y="97573"/>
          <a:ext cx="646997" cy="631713"/>
        </a:xfrm>
        <a:prstGeom prst="rect">
          <a:avLst/>
        </a:prstGeom>
        <a:ln w="25400">
          <a:noFill/>
        </a:ln>
        <a:effectLst/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570769</xdr:colOff>
      <xdr:row>2</xdr:row>
      <xdr:rowOff>6830</xdr:rowOff>
    </xdr:to>
    <xdr:pic>
      <xdr:nvPicPr>
        <xdr:cNvPr id="3" name="Grafik 2" descr="e1_e3_H klein.jpeg">
          <a:extLst>
            <a:ext uri="{FF2B5EF4-FFF2-40B4-BE49-F238E27FC236}">
              <a16:creationId xmlns:a16="http://schemas.microsoft.com/office/drawing/2014/main" id="{00000000-0008-0000-0D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rcRect l="7122" r="6423"/>
        <a:stretch>
          <a:fillRect/>
        </a:stretch>
      </xdr:blipFill>
      <xdr:spPr>
        <a:xfrm>
          <a:off x="0" y="0"/>
          <a:ext cx="992063" cy="815906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absolute">
    <xdr:from>
      <xdr:col>10</xdr:col>
      <xdr:colOff>571480</xdr:colOff>
      <xdr:row>0</xdr:row>
      <xdr:rowOff>97573</xdr:rowOff>
    </xdr:from>
    <xdr:to>
      <xdr:col>12</xdr:col>
      <xdr:colOff>905</xdr:colOff>
      <xdr:row>1</xdr:row>
      <xdr:rowOff>405498</xdr:rowOff>
    </xdr:to>
    <xdr:pic>
      <xdr:nvPicPr>
        <xdr:cNvPr id="8" name="Bild 2">
          <a:extLst>
            <a:ext uri="{FF2B5EF4-FFF2-40B4-BE49-F238E27FC236}">
              <a16:creationId xmlns:a16="http://schemas.microsoft.com/office/drawing/2014/main" id="{00000000-0008-0000-01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833444" y="97573"/>
          <a:ext cx="645434" cy="633471"/>
        </a:xfrm>
        <a:prstGeom prst="rect">
          <a:avLst/>
        </a:prstGeom>
        <a:ln w="25400">
          <a:noFill/>
        </a:ln>
        <a:effectLst/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160025</xdr:colOff>
      <xdr:row>2</xdr:row>
      <xdr:rowOff>8687</xdr:rowOff>
    </xdr:to>
    <xdr:pic>
      <xdr:nvPicPr>
        <xdr:cNvPr id="9" name="Grafik 8" descr="e1_e3_H klein.jpeg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rcRect l="7122" r="6423"/>
        <a:stretch>
          <a:fillRect/>
        </a:stretch>
      </xdr:blipFill>
      <xdr:spPr>
        <a:xfrm>
          <a:off x="0" y="0"/>
          <a:ext cx="993039" cy="817763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absolute">
    <xdr:from>
      <xdr:col>8</xdr:col>
      <xdr:colOff>474209</xdr:colOff>
      <xdr:row>0</xdr:row>
      <xdr:rowOff>97573</xdr:rowOff>
    </xdr:from>
    <xdr:to>
      <xdr:col>9</xdr:col>
      <xdr:colOff>947</xdr:colOff>
      <xdr:row>1</xdr:row>
      <xdr:rowOff>403740</xdr:rowOff>
    </xdr:to>
    <xdr:pic>
      <xdr:nvPicPr>
        <xdr:cNvPr id="4" name="Bild 2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682938" y="97573"/>
          <a:ext cx="645434" cy="631713"/>
        </a:xfrm>
        <a:prstGeom prst="rect">
          <a:avLst/>
        </a:prstGeom>
        <a:ln w="25400">
          <a:noFill/>
        </a:ln>
        <a:effectLst/>
      </xdr:spPr>
    </xdr:pic>
    <xdr:clientData/>
  </xdr:twoCellAnchor>
  <xdr:twoCellAnchor editAs="oneCell">
    <xdr:from>
      <xdr:col>0</xdr:col>
      <xdr:colOff>1890</xdr:colOff>
      <xdr:row>0</xdr:row>
      <xdr:rowOff>0</xdr:rowOff>
    </xdr:from>
    <xdr:to>
      <xdr:col>2</xdr:col>
      <xdr:colOff>227963</xdr:colOff>
      <xdr:row>2</xdr:row>
      <xdr:rowOff>6830</xdr:rowOff>
    </xdr:to>
    <xdr:pic>
      <xdr:nvPicPr>
        <xdr:cNvPr id="5" name="Grafik 4" descr="e1_e3_H klein.jpeg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rcRect l="7122" r="6423"/>
        <a:stretch>
          <a:fillRect/>
        </a:stretch>
      </xdr:blipFill>
      <xdr:spPr>
        <a:xfrm>
          <a:off x="1890" y="0"/>
          <a:ext cx="991683" cy="816134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absolute">
    <xdr:from>
      <xdr:col>9</xdr:col>
      <xdr:colOff>193360</xdr:colOff>
      <xdr:row>0</xdr:row>
      <xdr:rowOff>97573</xdr:rowOff>
    </xdr:from>
    <xdr:to>
      <xdr:col>9</xdr:col>
      <xdr:colOff>838794</xdr:colOff>
      <xdr:row>1</xdr:row>
      <xdr:rowOff>405498</xdr:rowOff>
    </xdr:to>
    <xdr:pic>
      <xdr:nvPicPr>
        <xdr:cNvPr id="4" name="Bild 2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861683" y="97573"/>
          <a:ext cx="645434" cy="633471"/>
        </a:xfrm>
        <a:prstGeom prst="rect">
          <a:avLst/>
        </a:prstGeom>
        <a:ln w="25400">
          <a:noFill/>
        </a:ln>
        <a:effectLst/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2</xdr:col>
      <xdr:colOff>179175</xdr:colOff>
      <xdr:row>2</xdr:row>
      <xdr:rowOff>8687</xdr:rowOff>
    </xdr:to>
    <xdr:pic>
      <xdr:nvPicPr>
        <xdr:cNvPr id="5" name="Grafik 4" descr="e1_e3_H klein.jpeg">
          <a:extLst>
            <a:ext uri="{FF2B5EF4-FFF2-40B4-BE49-F238E27FC236}">
              <a16:creationId xmlns:a16="http://schemas.microsoft.com/office/drawing/2014/main" id="{00000000-0008-0000-03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rcRect l="7122" r="6423"/>
        <a:stretch>
          <a:fillRect/>
        </a:stretch>
      </xdr:blipFill>
      <xdr:spPr>
        <a:xfrm>
          <a:off x="0" y="0"/>
          <a:ext cx="993039" cy="817763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absolute">
    <xdr:from>
      <xdr:col>9</xdr:col>
      <xdr:colOff>193360</xdr:colOff>
      <xdr:row>0</xdr:row>
      <xdr:rowOff>97573</xdr:rowOff>
    </xdr:from>
    <xdr:to>
      <xdr:col>9</xdr:col>
      <xdr:colOff>838794</xdr:colOff>
      <xdr:row>1</xdr:row>
      <xdr:rowOff>405498</xdr:rowOff>
    </xdr:to>
    <xdr:pic>
      <xdr:nvPicPr>
        <xdr:cNvPr id="4" name="Bild 2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861683" y="97573"/>
          <a:ext cx="645434" cy="633471"/>
        </a:xfrm>
        <a:prstGeom prst="rect">
          <a:avLst/>
        </a:prstGeom>
        <a:ln w="25400">
          <a:noFill/>
        </a:ln>
        <a:effectLst/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2</xdr:col>
      <xdr:colOff>179175</xdr:colOff>
      <xdr:row>2</xdr:row>
      <xdr:rowOff>8687</xdr:rowOff>
    </xdr:to>
    <xdr:pic>
      <xdr:nvPicPr>
        <xdr:cNvPr id="5" name="Grafik 4" descr="e1_e3_H klein.jpeg">
          <a:extLst>
            <a:ext uri="{FF2B5EF4-FFF2-40B4-BE49-F238E27FC236}">
              <a16:creationId xmlns:a16="http://schemas.microsoft.com/office/drawing/2014/main" id="{00000000-0008-0000-04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rcRect l="7122" r="6423"/>
        <a:stretch>
          <a:fillRect/>
        </a:stretch>
      </xdr:blipFill>
      <xdr:spPr>
        <a:xfrm>
          <a:off x="0" y="0"/>
          <a:ext cx="993039" cy="817763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absolute">
    <xdr:from>
      <xdr:col>9</xdr:col>
      <xdr:colOff>264109</xdr:colOff>
      <xdr:row>0</xdr:row>
      <xdr:rowOff>97573</xdr:rowOff>
    </xdr:from>
    <xdr:to>
      <xdr:col>9</xdr:col>
      <xdr:colOff>909542</xdr:colOff>
      <xdr:row>1</xdr:row>
      <xdr:rowOff>405497</xdr:rowOff>
    </xdr:to>
    <xdr:pic>
      <xdr:nvPicPr>
        <xdr:cNvPr id="4" name="Bild 2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809680" y="97573"/>
          <a:ext cx="645433" cy="635066"/>
        </a:xfrm>
        <a:prstGeom prst="rect">
          <a:avLst/>
        </a:prstGeom>
        <a:ln w="25400">
          <a:noFill/>
        </a:ln>
        <a:effectLst/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677067</xdr:colOff>
      <xdr:row>2</xdr:row>
      <xdr:rowOff>708</xdr:rowOff>
    </xdr:to>
    <xdr:pic>
      <xdr:nvPicPr>
        <xdr:cNvPr id="5" name="Grafik 4" descr="e1_e3_H klein.jpeg">
          <a:extLst>
            <a:ext uri="{FF2B5EF4-FFF2-40B4-BE49-F238E27FC236}">
              <a16:creationId xmlns:a16="http://schemas.microsoft.com/office/drawing/2014/main" id="{00000000-0008-0000-05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rcRect l="7122" r="6423"/>
        <a:stretch>
          <a:fillRect/>
        </a:stretch>
      </xdr:blipFill>
      <xdr:spPr>
        <a:xfrm>
          <a:off x="0" y="0"/>
          <a:ext cx="993038" cy="819359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absolute">
    <xdr:from>
      <xdr:col>11</xdr:col>
      <xdr:colOff>48742</xdr:colOff>
      <xdr:row>0</xdr:row>
      <xdr:rowOff>97573</xdr:rowOff>
    </xdr:from>
    <xdr:to>
      <xdr:col>11</xdr:col>
      <xdr:colOff>694175</xdr:colOff>
      <xdr:row>1</xdr:row>
      <xdr:rowOff>405497</xdr:rowOff>
    </xdr:to>
    <xdr:pic>
      <xdr:nvPicPr>
        <xdr:cNvPr id="4" name="Bild 2">
          <a:extLst>
            <a:ext uri="{FF2B5EF4-FFF2-40B4-BE49-F238E27FC236}">
              <a16:creationId xmlns:a16="http://schemas.microsoft.com/office/drawing/2014/main" id="{00000000-0008-0000-08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062907" y="97573"/>
          <a:ext cx="645433" cy="633470"/>
        </a:xfrm>
        <a:prstGeom prst="rect">
          <a:avLst/>
        </a:prstGeom>
        <a:ln w="25400">
          <a:noFill/>
        </a:ln>
        <a:effectLst/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993038</xdr:colOff>
      <xdr:row>2</xdr:row>
      <xdr:rowOff>10283</xdr:rowOff>
    </xdr:to>
    <xdr:pic>
      <xdr:nvPicPr>
        <xdr:cNvPr id="5" name="Grafik 4" descr="e1_e3_H klein.jpeg">
          <a:extLst>
            <a:ext uri="{FF2B5EF4-FFF2-40B4-BE49-F238E27FC236}">
              <a16:creationId xmlns:a16="http://schemas.microsoft.com/office/drawing/2014/main" id="{00000000-0008-0000-08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rcRect l="7122" r="6423"/>
        <a:stretch>
          <a:fillRect/>
        </a:stretch>
      </xdr:blipFill>
      <xdr:spPr>
        <a:xfrm>
          <a:off x="0" y="0"/>
          <a:ext cx="993038" cy="819359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absolute">
    <xdr:from>
      <xdr:col>6</xdr:col>
      <xdr:colOff>433998</xdr:colOff>
      <xdr:row>0</xdr:row>
      <xdr:rowOff>97573</xdr:rowOff>
    </xdr:from>
    <xdr:to>
      <xdr:col>6</xdr:col>
      <xdr:colOff>1080995</xdr:colOff>
      <xdr:row>1</xdr:row>
      <xdr:rowOff>403740</xdr:rowOff>
    </xdr:to>
    <xdr:pic>
      <xdr:nvPicPr>
        <xdr:cNvPr id="4" name="Bild 2">
          <a:extLst>
            <a:ext uri="{FF2B5EF4-FFF2-40B4-BE49-F238E27FC236}">
              <a16:creationId xmlns:a16="http://schemas.microsoft.com/office/drawing/2014/main" id="{00000000-0008-0000-09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920398" y="97573"/>
          <a:ext cx="646997" cy="631713"/>
        </a:xfrm>
        <a:prstGeom prst="rect">
          <a:avLst/>
        </a:prstGeom>
        <a:ln w="25400">
          <a:noFill/>
        </a:ln>
        <a:effectLst/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570769</xdr:colOff>
      <xdr:row>2</xdr:row>
      <xdr:rowOff>6830</xdr:rowOff>
    </xdr:to>
    <xdr:pic>
      <xdr:nvPicPr>
        <xdr:cNvPr id="5" name="Grafik 4" descr="e1_e3_H klein.jpeg">
          <a:extLst>
            <a:ext uri="{FF2B5EF4-FFF2-40B4-BE49-F238E27FC236}">
              <a16:creationId xmlns:a16="http://schemas.microsoft.com/office/drawing/2014/main" id="{00000000-0008-0000-09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rcRect l="7122" r="6423"/>
        <a:stretch>
          <a:fillRect/>
        </a:stretch>
      </xdr:blipFill>
      <xdr:spPr>
        <a:xfrm>
          <a:off x="0" y="0"/>
          <a:ext cx="992063" cy="815906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349250</xdr:colOff>
      <xdr:row>4</xdr:row>
      <xdr:rowOff>179918</xdr:rowOff>
    </xdr:from>
    <xdr:to>
      <xdr:col>6</xdr:col>
      <xdr:colOff>719667</xdr:colOff>
      <xdr:row>12</xdr:row>
      <xdr:rowOff>31751</xdr:rowOff>
    </xdr:to>
    <xdr:sp macro="" textlink="">
      <xdr:nvSpPr>
        <xdr:cNvPr id="4" name="Textfeld 3">
          <a:extLst>
            <a:ext uri="{FF2B5EF4-FFF2-40B4-BE49-F238E27FC236}">
              <a16:creationId xmlns:a16="http://schemas.microsoft.com/office/drawing/2014/main" id="{00000000-0008-0000-0A00-000004000000}"/>
            </a:ext>
          </a:extLst>
        </xdr:cNvPr>
        <xdr:cNvSpPr txBox="1"/>
      </xdr:nvSpPr>
      <xdr:spPr>
        <a:xfrm>
          <a:off x="349250" y="1397001"/>
          <a:ext cx="5810250" cy="14605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de-DE" sz="8800" b="1" cap="none" spc="0">
              <a:ln w="22225">
                <a:solidFill>
                  <a:schemeClr val="accent2"/>
                </a:solidFill>
                <a:prstDash val="solid"/>
              </a:ln>
              <a:solidFill>
                <a:schemeClr val="accent2">
                  <a:lumMod val="40000"/>
                  <a:lumOff val="60000"/>
                  <a:alpha val="35000"/>
                </a:schemeClr>
              </a:solidFill>
              <a:effectLst/>
            </a:rPr>
            <a:t>Rechnung B</a:t>
          </a:r>
        </a:p>
      </xdr:txBody>
    </xdr:sp>
    <xdr:clientData fPrintsWithSheet="0"/>
  </xdr:twoCellAnchor>
  <xdr:twoCellAnchor editAs="absolute">
    <xdr:from>
      <xdr:col>6</xdr:col>
      <xdr:colOff>433998</xdr:colOff>
      <xdr:row>0</xdr:row>
      <xdr:rowOff>97573</xdr:rowOff>
    </xdr:from>
    <xdr:to>
      <xdr:col>6</xdr:col>
      <xdr:colOff>1080995</xdr:colOff>
      <xdr:row>1</xdr:row>
      <xdr:rowOff>403740</xdr:rowOff>
    </xdr:to>
    <xdr:pic>
      <xdr:nvPicPr>
        <xdr:cNvPr id="5" name="Bild 2">
          <a:extLst>
            <a:ext uri="{FF2B5EF4-FFF2-40B4-BE49-F238E27FC236}">
              <a16:creationId xmlns:a16="http://schemas.microsoft.com/office/drawing/2014/main" id="{00000000-0008-0000-0A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920398" y="97573"/>
          <a:ext cx="646997" cy="631713"/>
        </a:xfrm>
        <a:prstGeom prst="rect">
          <a:avLst/>
        </a:prstGeom>
        <a:ln w="25400">
          <a:noFill/>
        </a:ln>
        <a:effectLst/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570769</xdr:colOff>
      <xdr:row>2</xdr:row>
      <xdr:rowOff>6830</xdr:rowOff>
    </xdr:to>
    <xdr:pic>
      <xdr:nvPicPr>
        <xdr:cNvPr id="6" name="Grafik 5" descr="e1_e3_H klein.jpeg">
          <a:extLst>
            <a:ext uri="{FF2B5EF4-FFF2-40B4-BE49-F238E27FC236}">
              <a16:creationId xmlns:a16="http://schemas.microsoft.com/office/drawing/2014/main" id="{00000000-0008-0000-0A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rcRect l="7122" r="6423"/>
        <a:stretch>
          <a:fillRect/>
        </a:stretch>
      </xdr:blipFill>
      <xdr:spPr>
        <a:xfrm>
          <a:off x="0" y="0"/>
          <a:ext cx="992063" cy="815906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5" xr:uid="{00000000-000C-0000-FFFF-FFFF00000000}" name="tblData" displayName="tblData" ref="A13:BE123" headerRowDxfId="219" dataDxfId="217" headerRowBorderDxfId="218" tableBorderDxfId="216">
  <tableColumns count="57">
    <tableColumn id="1" xr3:uid="{00000000-0010-0000-0000-000001000000}" name="Id" dataDxfId="215" totalsRowDxfId="214">
      <calculatedColumnFormula>IF(ISNUMBER(tblData[[#This Row],[SubType2]]),tblData[[#This Row],[SubType2]]*10000+tblData[[#This Row],[No]],1000000+tblData[[#This Row],[No]])</calculatedColumnFormula>
    </tableColumn>
    <tableColumn id="48" xr3:uid="{00000000-0010-0000-0000-000030000000}" name="Sorted Name Id" dataDxfId="213" totalsRowDxfId="212">
      <calculatedColumnFormula>IFERROR(tblData[[#This Row],[Surname Rang]]*1000+tblData[[#This Row],[Given Name Rang]]+tblData[[#This Row],[No]]/1000,"")</calculatedColumnFormula>
    </tableColumn>
    <tableColumn id="55" xr3:uid="{00000000-0010-0000-0000-000037000000}" name="Sorted Arr Id" dataDxfId="211" totalsRowDxfId="210">
      <calculatedColumnFormula>IFERROR(tblData[[#This Row],[Arr DateTime Rang]]+tblData[[#This Row],[No]]/1000,"")</calculatedColumnFormula>
    </tableColumn>
    <tableColumn id="56" xr3:uid="{00000000-0010-0000-0000-000038000000}" name="Sorted Dep Id" dataDxfId="209" totalsRowDxfId="208">
      <calculatedColumnFormula>IFERROR(tblData[[#This Row],[Dep DateTime Rang]]+tblData[[#This Row],[No]]/1000,"")</calculatedColumnFormula>
    </tableColumn>
    <tableColumn id="45" xr3:uid="{00000000-0010-0000-0000-00002D000000}" name="No" dataDxfId="207" totalsRowDxfId="206"/>
    <tableColumn id="2" xr3:uid="{00000000-0010-0000-0000-000002000000}" name="Surname" dataDxfId="205" totalsRowDxfId="204"/>
    <tableColumn id="3" xr3:uid="{00000000-0010-0000-0000-000003000000}" name="Given name" dataDxfId="203" totalsRowDxfId="202"/>
    <tableColumn id="4" xr3:uid="{00000000-0010-0000-0000-000004000000}" name="Weight Category, Function, and Gender" dataDxfId="201" totalsRowDxfId="200"/>
    <tableColumn id="5" xr3:uid="{00000000-0010-0000-0000-000005000000}" name="Date of Birth" dataDxfId="199" totalsRowDxfId="198"/>
    <tableColumn id="6" xr3:uid="{00000000-0010-0000-0000-000006000000}" name="Best Results" dataDxfId="197" totalsRowDxfId="196"/>
    <tableColumn id="7" xr3:uid="{00000000-0010-0000-0000-000007000000}" name="Training Camp" dataDxfId="195" totalsRowDxfId="194"/>
    <tableColumn id="8" xr3:uid="{00000000-0010-0000-0000-000008000000}" name="Visa required" dataDxfId="193" totalsRowDxfId="192"/>
    <tableColumn id="9" xr3:uid="{00000000-0010-0000-0000-000009000000}" name="Place of Birth" dataDxfId="191" totalsRowDxfId="190"/>
    <tableColumn id="10" xr3:uid="{00000000-0010-0000-0000-00000A000000}" name="Nationality" dataDxfId="189" totalsRowDxfId="188"/>
    <tableColumn id="11" xr3:uid="{00000000-0010-0000-0000-00000B000000}" name="Passport Number" dataDxfId="187" totalsRowDxfId="186"/>
    <tableColumn id="12" xr3:uid="{00000000-0010-0000-0000-00000C000000}" name="Date of Issue" dataDxfId="185" totalsRowDxfId="184"/>
    <tableColumn id="13" xr3:uid="{00000000-0010-0000-0000-00000D000000}" name="Date of Expiry" dataDxfId="183" totalsRowDxfId="182"/>
    <tableColumn id="14" xr3:uid="{00000000-0010-0000-0000-00000E000000}" name="Arr Date" dataDxfId="181" totalsRowDxfId="180"/>
    <tableColumn id="15" xr3:uid="{00000000-0010-0000-0000-00000F000000}" name="Arr Time" dataDxfId="179" totalsRowDxfId="178"/>
    <tableColumn id="16" xr3:uid="{00000000-0010-0000-0000-000010000000}" name="Arr From" dataDxfId="177" totalsRowDxfId="176"/>
    <tableColumn id="17" xr3:uid="{00000000-0010-0000-0000-000011000000}" name="Arr To" dataDxfId="175" totalsRowDxfId="174"/>
    <tableColumn id="18" xr3:uid="{00000000-0010-0000-0000-000012000000}" name="Arriving by" dataDxfId="173" totalsRowDxfId="172"/>
    <tableColumn id="19" xr3:uid="{00000000-0010-0000-0000-000013000000}" name="Arr Flight/Train Number" dataDxfId="171" totalsRowDxfId="170"/>
    <tableColumn id="20" xr3:uid="{00000000-0010-0000-0000-000014000000}" name="Dep Date" dataDxfId="169" totalsRowDxfId="168"/>
    <tableColumn id="21" xr3:uid="{00000000-0010-0000-0000-000015000000}" name="Dep Time" dataDxfId="167" totalsRowDxfId="166"/>
    <tableColumn id="22" xr3:uid="{00000000-0010-0000-0000-000016000000}" name="Dep From" dataDxfId="165" totalsRowDxfId="164"/>
    <tableColumn id="23" xr3:uid="{00000000-0010-0000-0000-000017000000}" name="Dep To" dataDxfId="163" totalsRowDxfId="162"/>
    <tableColumn id="24" xr3:uid="{00000000-0010-0000-0000-000018000000}" name="Departing by" dataDxfId="161" totalsRowDxfId="160"/>
    <tableColumn id="25" xr3:uid="{00000000-0010-0000-0000-000019000000}" name="Dep Flight/Train Number" dataDxfId="159" totalsRowDxfId="158"/>
    <tableColumn id="26" xr3:uid="{00000000-0010-0000-0000-00001A000000}" name="ShuttleAtArrival" dataDxfId="157" totalsRowDxfId="156"/>
    <tableColumn id="27" xr3:uid="{00000000-0010-0000-0000-00001B000000}" name="ShuttleAtDeparture" dataDxfId="155" totalsRowDxfId="154"/>
    <tableColumn id="28" xr3:uid="{00000000-0010-0000-0000-00001C000000}" name="Day 1" dataDxfId="153" totalsRowDxfId="152"/>
    <tableColumn id="29" xr3:uid="{00000000-0010-0000-0000-00001D000000}" name="Day 2" dataDxfId="151" totalsRowDxfId="150"/>
    <tableColumn id="30" xr3:uid="{00000000-0010-0000-0000-00001E000000}" name="Day 3" dataDxfId="149" totalsRowDxfId="148"/>
    <tableColumn id="31" xr3:uid="{00000000-0010-0000-0000-00001F000000}" name="Day 4" dataDxfId="147" totalsRowDxfId="146"/>
    <tableColumn id="32" xr3:uid="{00000000-0010-0000-0000-000020000000}" name="Day 5" dataDxfId="145" totalsRowDxfId="144"/>
    <tableColumn id="33" xr3:uid="{00000000-0010-0000-0000-000021000000}" name="Day 6" dataDxfId="143" totalsRowDxfId="142"/>
    <tableColumn id="34" xr3:uid="{00000000-0010-0000-0000-000022000000}" name="Day 7" dataDxfId="141" totalsRowDxfId="140"/>
    <tableColumn id="35" xr3:uid="{00000000-0010-0000-0000-000023000000}" name="Day 8" dataDxfId="139" totalsRowDxfId="138"/>
    <tableColumn id="36" xr3:uid="{00000000-0010-0000-0000-000024000000}" name="Day 9" dataDxfId="137" totalsRowDxfId="136"/>
    <tableColumn id="37" xr3:uid="{00000000-0010-0000-0000-000025000000}" name="Accred. Fee" dataDxfId="135" totalsRowDxfId="134">
      <calculatedColumnFormula>IF(ISBLANK(tblData[[#This Row],[Surname]]),"",IF(tblData[[#This Row],[Bill Accred Fee]]=0,"NO","YES"))</calculatedColumnFormula>
    </tableColumn>
    <tableColumn id="42" xr3:uid="{00000000-0010-0000-0000-00002A000000}" name="Bill Accred Fee" totalsRowFunction="sum" dataDxfId="133" totalsRowDxfId="132">
      <calculatedColumnFormula>IF(AND(NOT(ISBLANK(tblData[[#This Row],[Surname]])),COUNTA(tblData[[#This Row],[Day 1]:[Day 9]])=0),1,0)</calculatedColumnFormula>
    </tableColumn>
    <tableColumn id="52" xr3:uid="{00000000-0010-0000-0000-000034000000}" name="Entry Fee Billable" dataDxfId="131" totalsRowDxfId="130">
      <calculatedColumnFormula>IF(AND(NOT(ISBLANK(tblData[[#This Row],[Surname]])),tblData[[#This Row],[Position]]="Athlete"),1,0)</calculatedColumnFormula>
    </tableColumn>
    <tableColumn id="57" xr3:uid="{00000000-0010-0000-0000-000039000000}" name="Entry Fee" dataDxfId="129" totalsRowDxfId="128">
      <calculatedColumnFormula>EntryFee*tblData[[#This Row],[Entry Fee Billable]]</calculatedColumnFormula>
    </tableColumn>
    <tableColumn id="38" xr3:uid="{00000000-0010-0000-0000-000026000000}" name="Cat" totalsRowFunction="sum" dataDxfId="127" totalsRowDxfId="126">
      <calculatedColumnFormula>IF(ISBLANK(SelectedCategory),"No Cat!",IF(ISBLANK($F14),0,IFERROR(VLOOKUP(AS$12&amp;", "&amp;tblData[[#This Row],[Day 1]],tblAccommodationCosts[],5,FALSE),0)+IFERROR(VLOOKUP(AS$12&amp;", "&amp;tblData[[#This Row],[Day 2]],tblAccommodationCosts[],5,FALSE),0)+IFERROR(VLOOKUP(AS$12&amp;", "&amp;tblData[[#This Row],[Day 3]],tblAccommodationCosts[],5,FALSE),0)+IFERROR(VLOOKUP(AS$12&amp;", "&amp;tblData[[#This Row],[Day 4]],tblAccommodationCosts[],5,FALSE),0)+IFERROR(VLOOKUP(AS$12&amp;", "&amp;tblData[[#This Row],[Day 5]],tblAccommodationCosts[],5,FALSE),0)+IFERROR(VLOOKUP(AS$12&amp;", "&amp;tblData[[#This Row],[Day 6]],tblAccommodationCosts[],5,FALSE),0)+IFERROR(VLOOKUP(AS$12&amp;", "&amp;tblData[[#This Row],[Day 7]],tblAccommodationCosts[],5,FALSE),0)+IFERROR(VLOOKUP(AS$12&amp;", "&amp;tblData[[#This Row],[Day 8]],tblAccommodationCosts[],5,FALSE),0)+IFERROR(VLOOKUP(AS$12&amp;", "&amp;tblData[[#This Row],[Day 9]],tblAccommodationCosts[],5,FALSE),0)+AccreditationFee*tblData[[#This Row],[Bill Accred Fee]]))+tblData[[#This Row],[Entry Fee]]</calculatedColumnFormula>
    </tableColumn>
    <tableColumn id="40" xr3:uid="{00000000-0010-0000-0000-000028000000}" name="Type" dataDxfId="125" totalsRowDxfId="124">
      <calculatedColumnFormula>IFERROR(VLOOKUP(tblData[[#This Row],[Weight Category, Function, and Gender]],tblWeightOrFunction[],3,0),"")</calculatedColumnFormula>
    </tableColumn>
    <tableColumn id="41" xr3:uid="{00000000-0010-0000-0000-000029000000}" name="SubType1" dataDxfId="123" totalsRowDxfId="122">
      <calculatedColumnFormula>IFERROR(VLOOKUP(tblData[[#This Row],[Weight Category, Function, and Gender]],tblWeightOrFunction[],4,0),"")</calculatedColumnFormula>
    </tableColumn>
    <tableColumn id="43" xr3:uid="{00000000-0010-0000-0000-00002B000000}" name="SubType2" dataDxfId="121" totalsRowDxfId="120">
      <calculatedColumnFormula>IFERROR(VLOOKUP(tblData[[#This Row],[Weight Category, Function, and Gender]],tblWeightOrFunction[],7,0),"")</calculatedColumnFormula>
    </tableColumn>
    <tableColumn id="44" xr3:uid="{00000000-0010-0000-0000-00002C000000}" name="Position" dataDxfId="119" totalsRowDxfId="118">
      <calculatedColumnFormula>IFERROR(VLOOKUP(tblData[[#This Row],[Weight Category, Function, and Gender]],tblWeightOrFunction[],6,0),"")</calculatedColumnFormula>
    </tableColumn>
    <tableColumn id="39" xr3:uid="{00000000-0010-0000-0000-000027000000}" name="Gender" dataDxfId="117" totalsRowDxfId="116">
      <calculatedColumnFormula>IFERROR(VLOOKUP(tblData[[#This Row],[Weight Category, Function, and Gender]],tblWeightOrFunction[],2,0),"")</calculatedColumnFormula>
    </tableColumn>
    <tableColumn id="50" xr3:uid="{00000000-0010-0000-0000-000032000000}" name="Arr DateTime" dataDxfId="115" totalsRowDxfId="114">
      <calculatedColumnFormula>tblData[[#This Row],[Arr Date]]+tblData[[#This Row],[Arr Time]]</calculatedColumnFormula>
    </tableColumn>
    <tableColumn id="49" xr3:uid="{00000000-0010-0000-0000-000031000000}" name="Dep DateTime" dataDxfId="113" totalsRowDxfId="112">
      <calculatedColumnFormula>tblData[[#This Row],[Dep Date]]+tblData[[#This Row],[Dep Time]]</calculatedColumnFormula>
    </tableColumn>
    <tableColumn id="46" xr3:uid="{00000000-0010-0000-0000-00002E000000}" name="Surname Rang" dataDxfId="111">
      <calculatedColumnFormula>COUNTIF(tblData[Surname],"&lt;="&amp;tblData[Surname])</calculatedColumnFormula>
    </tableColumn>
    <tableColumn id="47" xr3:uid="{00000000-0010-0000-0000-00002F000000}" name="Given Name Rang" dataDxfId="110">
      <calculatedColumnFormula>COUNTIF(tblData[Given name],"&lt;="&amp;tblData[Given name])</calculatedColumnFormula>
    </tableColumn>
    <tableColumn id="51" xr3:uid="{00000000-0010-0000-0000-000033000000}" name="Arr DateTime Rang" dataDxfId="109">
      <calculatedColumnFormula>COUNTIF(tblData[Arr DateTime],"&lt;="&amp;tblData[Arr DateTime])</calculatedColumnFormula>
    </tableColumn>
    <tableColumn id="53" xr3:uid="{00000000-0010-0000-0000-000035000000}" name="Dep DateTime Rang" dataDxfId="108">
      <calculatedColumnFormula>COUNTIF(tblData[Dep DateTime],"&lt;="&amp;tblData[Dep DateTime])</calculatedColumnFormula>
    </tableColumn>
    <tableColumn id="54" xr3:uid="{00000000-0010-0000-0000-000036000000}" name="Dep Shuttle Rang" dataDxfId="107">
      <calculatedColumnFormula>COUNTIF(tblData[ShuttleAtDeparture],"&lt;="&amp;tblData[ShuttleAtDeparture])</calculatedColumnFormula>
    </tableColumn>
  </tableColumns>
  <tableStyleInfo showFirstColumn="0" showLastColumn="0" showRowStripes="1" showColumnStripes="0"/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5" xr:uid="{00000000-000C-0000-FFFF-FFFF09000000}" name="tblArrival" displayName="tblArrival" ref="BY13:BY123" totalsRowShown="0" headerRowDxfId="81" dataDxfId="79" headerRowBorderDxfId="80">
  <autoFilter ref="BY13:BY123" xr:uid="{00000000-0009-0000-0100-000019000000}">
    <filterColumn colId="0" hiddenButton="1"/>
  </autoFilter>
  <tableColumns count="1">
    <tableColumn id="1" xr3:uid="{00000000-0010-0000-0900-000001000000}" name="Id" dataDxfId="78">
      <calculatedColumnFormula array="1">IF(ROWS(tblData[[#Headers],[Sorted Arr Id]]:tblData[[#This Row],[Sorted Arr Id]])-1&gt;$BY$11,"",INDEX(tblData[Sorted Arr Id],SMALL(IF(LEN(TRIM(tblData[Surname]))*(tblData[Arr DateTime]&gt;0),ROW(tblData[Sorted Arr Id])-ROW(tblData[[#Headers],[Sorted Arr Id]])),ROWS(tblData[[#Headers],[Sorted Arr Id]]:tblData[[#This Row],[Sorted Arr Id]])-1)))</calculatedColumnFormula>
    </tableColumn>
  </tableColumns>
  <tableStyleInfo name="TableStyleMedium9" showFirstColumn="0" showLastColumn="0" showRowStripes="1" showColumnStripes="0"/>
</table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6" xr:uid="{00000000-000C-0000-FFFF-FFFF0A000000}" name="tblArrivalSorted" displayName="tblArrivalSorted" ref="CA13:CA123" totalsRowShown="0" headerRowDxfId="77" dataDxfId="76">
  <autoFilter ref="CA13:CA123" xr:uid="{00000000-0009-0000-0100-00001A000000}">
    <filterColumn colId="0" hiddenButton="1"/>
  </autoFilter>
  <tableColumns count="1">
    <tableColumn id="1" xr3:uid="{00000000-0010-0000-0A00-000001000000}" name="Id" dataDxfId="75">
      <calculatedColumnFormula>IF(ROWS(tblArrivalSorted[[#Headers],[Id]]:tblArrivalSorted[[#This Row],[Id]])-1&gt;$CA$11,"",SMALL(tblArrival[Id],ROWS(tblArrivalSorted[[#Headers],[Id]]:tblArrivalSorted[[#This Row],[Id]])-1))</calculatedColumnFormula>
    </tableColumn>
  </tableColumns>
  <tableStyleInfo name="TableStyleMedium9" showFirstColumn="0" showLastColumn="0" showRowStripes="1" showColumnStripes="0"/>
</table>
</file>

<file path=xl/tables/table1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8" xr:uid="{00000000-000C-0000-FFFF-FFFF0B000000}" name="tblDeparture" displayName="tblDeparture" ref="CC13:CC123" totalsRowShown="0" headerRowDxfId="74" dataDxfId="72" headerRowBorderDxfId="73">
  <autoFilter ref="CC13:CC123" xr:uid="{00000000-0009-0000-0100-00001C000000}">
    <filterColumn colId="0" hiddenButton="1"/>
  </autoFilter>
  <tableColumns count="1">
    <tableColumn id="1" xr3:uid="{00000000-0010-0000-0B00-000001000000}" name="Id" dataDxfId="71">
      <calculatedColumnFormula array="1">IF(ROWS(tblData[[#Headers],[Sorted Dep Id]]:tblData[[#This Row],[Sorted Dep Id]])-1&gt;$CC$11,"",INDEX(tblData[Sorted Dep Id],SMALL(IF(LEN(TRIM(tblData[Surname]))*(tblData[Dep DateTime]&gt;0),ROW(tblData[Sorted Dep Id])-ROW(tblData[[#Headers],[Sorted Dep Id]])),ROWS(tblData[[#Headers],[Sorted Dep Id]]:tblData[[#This Row],[Sorted Dep Id]])-1)))</calculatedColumnFormula>
    </tableColumn>
  </tableColumns>
  <tableStyleInfo name="TableStyleMedium9" showFirstColumn="0" showLastColumn="0" showRowStripes="1" showColumnStripes="0"/>
</table>
</file>

<file path=xl/tables/table1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9" xr:uid="{00000000-000C-0000-FFFF-FFFF0C000000}" name="tblDepartureSorted" displayName="tblDepartureSorted" ref="CE13:CE123" totalsRowShown="0" headerRowDxfId="70" dataDxfId="68" headerRowBorderDxfId="69">
  <autoFilter ref="CE13:CE123" xr:uid="{00000000-0009-0000-0100-00001D000000}">
    <filterColumn colId="0" hiddenButton="1"/>
  </autoFilter>
  <tableColumns count="1">
    <tableColumn id="1" xr3:uid="{00000000-0010-0000-0C00-000001000000}" name="Id" dataDxfId="67">
      <calculatedColumnFormula>IF(ROWS(tblDepartureSorted[[#Headers],[Id]]:tblDepartureSorted[[#This Row],[Id]])-1&gt;$CE$11,"",SMALL(tblDeparture[Id],ROWS(tblDepartureSorted[[#Headers],[Id]]:tblDepartureSorted[[#This Row],[Id]])-1))</calculatedColumnFormula>
    </tableColumn>
  </tableColumns>
  <tableStyleInfo name="TableStyleMedium9" showFirstColumn="0" showLastColumn="0" showRowStripes="1" showColumnStripes="0"/>
</table>
</file>

<file path=xl/tables/table1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7" xr:uid="{00000000-000C-0000-FFFF-FFFF0D000000}" name="tblCheckIn" displayName="tblCheckIn" ref="CG13:CG123" totalsRowShown="0" headerRowDxfId="66" dataDxfId="64" headerRowBorderDxfId="65">
  <autoFilter ref="CG13:CG123" xr:uid="{00000000-0009-0000-0100-00001B000000}">
    <filterColumn colId="0" hiddenButton="1"/>
  </autoFilter>
  <tableColumns count="1">
    <tableColumn id="1" xr3:uid="{00000000-0010-0000-0D00-000001000000}" name="Id" dataDxfId="63">
      <calculatedColumnFormula array="1">IF(ROWS(tblData[[#Headers],[Id]]:tblData[[#This Row],[Id]])-1&gt;$CG$11,"",INDEX(tblData[Id],SMALL(IF(LEN(TRIM(tblData[Surname])),ROW(tblData[Id])-ROW(tblData[[#Headers],[Id]])),ROWS(tblData[[#Headers],[Id]]:tblData[[#This Row],[Id]])-1)))</calculatedColumnFormula>
    </tableColumn>
  </tableColumns>
  <tableStyleInfo name="TableStyleMedium9" showFirstColumn="0" showLastColumn="0" showRowStripes="1" showColumnStripes="0"/>
</table>
</file>

<file path=xl/tables/table1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0" xr:uid="{00000000-000C-0000-FFFF-FFFF0E000000}" name="tblCheckInListe" displayName="tblCheckInListe" ref="A6:N116" totalsRowShown="0" headerRowDxfId="55" dataDxfId="53" headerRowBorderDxfId="54" tableBorderDxfId="52" totalsRowBorderDxfId="51">
  <autoFilter ref="A6:N116" xr:uid="{00000000-0009-0000-0100-00001E000000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</autoFilter>
  <tableColumns count="14">
    <tableColumn id="1" xr3:uid="{00000000-0010-0000-0E00-000001000000}" name="No" dataDxfId="50">
      <calculatedColumnFormula>IFERROR(VLOOKUP('Data Entry Form'!$CG14,tblData[],COLUMN(INDIRECT("tblData[[#Überschriften];[No]]")),0),"")</calculatedColumnFormula>
    </tableColumn>
    <tableColumn id="2" xr3:uid="{00000000-0010-0000-0E00-000002000000}" name="Last name" dataDxfId="49">
      <calculatedColumnFormula>IFERROR(VLOOKUP('Data Entry Form'!$CG14,tblData[],COLUMN(INDIRECT("tblData[[#Überschriften];[Surname]]")),0),"")</calculatedColumnFormula>
    </tableColumn>
    <tableColumn id="3" xr3:uid="{00000000-0010-0000-0E00-000003000000}" name="First name" dataDxfId="48">
      <calculatedColumnFormula>IFERROR(VLOOKUP('Data Entry Form'!$CG14,tblData[],COLUMN(INDIRECT("tblData[[#Überschriften];[Given Name]]")),0),"")</calculatedColumnFormula>
    </tableColumn>
    <tableColumn id="4" xr3:uid="{00000000-0010-0000-0E00-000004000000}" name="Position" dataDxfId="47">
      <calculatedColumnFormula>IFERROR(VLOOKUP('Data Entry Form'!$CG14,tblData[],COLUMN(INDIRECT("tblData[[#Überschriften];[Position]]")),0),"")</calculatedColumnFormula>
    </tableColumn>
    <tableColumn id="5" xr3:uid="{00000000-0010-0000-0E00-000005000000}" name="Gender" dataDxfId="46">
      <calculatedColumnFormula>IFERROR(VLOOKUP('Data Entry Form'!$CG14,tblData[],COLUMN(INDIRECT("tblData[[#Überschriften];[Gender]]")),0),"")</calculatedColumnFormula>
    </tableColumn>
    <tableColumn id="6" xr3:uid="{00000000-0010-0000-0E00-000006000000}" name="Day 1" dataDxfId="45">
      <calculatedColumnFormula>IFERROR(IF(VLOOKUP('Data Entry Form'!$CG14,tblData[],COLUMN(INDIRECT("tblData[[Day 1]]")),0)=0,"",VLOOKUP('Data Entry Form'!$CG14,tblData[],COLUMN(INDIRECT("tblData[[Day 1]]")),0)),"")</calculatedColumnFormula>
    </tableColumn>
    <tableColumn id="7" xr3:uid="{00000000-0010-0000-0E00-000007000000}" name="Day 2" dataDxfId="44">
      <calculatedColumnFormula>IFERROR(IF(VLOOKUP('Data Entry Form'!$CG14,tblData[],COLUMN(INDIRECT("tblData[[Day 2]]")),0)=0,"",VLOOKUP('Data Entry Form'!$CG14,tblData[],COLUMN(INDIRECT("tblData[[Day 2]]")),0)),"")</calculatedColumnFormula>
    </tableColumn>
    <tableColumn id="8" xr3:uid="{00000000-0010-0000-0E00-000008000000}" name="Day 3" dataDxfId="43">
      <calculatedColumnFormula>IFERROR(IF(VLOOKUP('Data Entry Form'!$CG14,tblData[],COLUMN(INDIRECT("tblData[[Day 3]]")),0)=0,"",VLOOKUP('Data Entry Form'!$CG14,tblData[],COLUMN(INDIRECT("tblData[[Day 3]]")),0)),"")</calculatedColumnFormula>
    </tableColumn>
    <tableColumn id="9" xr3:uid="{00000000-0010-0000-0E00-000009000000}" name="Day 4" dataDxfId="42">
      <calculatedColumnFormula>IFERROR(IF(VLOOKUP('Data Entry Form'!$CG14,tblData[],COLUMN(INDIRECT("tblData[[Day 4]]")),0)=0,"",VLOOKUP('Data Entry Form'!$CG14,tblData[],COLUMN(INDIRECT("tblData[[Day 4]]")),0)),"")</calculatedColumnFormula>
    </tableColumn>
    <tableColumn id="10" xr3:uid="{00000000-0010-0000-0E00-00000A000000}" name="Day 5" dataDxfId="41">
      <calculatedColumnFormula>IFERROR(IF(VLOOKUP('Data Entry Form'!$CG14,tblData[],COLUMN(INDIRECT("tblData[[Day 5]]")),0)=0,"",VLOOKUP('Data Entry Form'!$CG14,tblData[],COLUMN(INDIRECT("tblData[[Day 5]]")),0)),"")</calculatedColumnFormula>
    </tableColumn>
    <tableColumn id="11" xr3:uid="{00000000-0010-0000-0E00-00000B000000}" name="Day 6" dataDxfId="40">
      <calculatedColumnFormula>IFERROR(IF(VLOOKUP('Data Entry Form'!$CG14,tblData[],COLUMN(INDIRECT("tblData[[Day 6]]")),0)=0,"",VLOOKUP('Data Entry Form'!$CG14,tblData[],COLUMN(INDIRECT("tblData[[Day 6]]")),0)),"")</calculatedColumnFormula>
    </tableColumn>
    <tableColumn id="12" xr3:uid="{00000000-0010-0000-0E00-00000C000000}" name="Day 7" dataDxfId="39">
      <calculatedColumnFormula>IFERROR(IF(VLOOKUP('Data Entry Form'!$CG14,tblData[],COLUMN(INDIRECT("tblData[[Day 7]]")),0)=0,"",VLOOKUP('Data Entry Form'!$CG14,tblData[],COLUMN(INDIRECT("tblData[[Day 7]]")),0)),"")</calculatedColumnFormula>
    </tableColumn>
    <tableColumn id="13" xr3:uid="{00000000-0010-0000-0E00-00000D000000}" name="Day 8" dataDxfId="38">
      <calculatedColumnFormula>IFERROR(IF(VLOOKUP('Data Entry Form'!$CG14,tblData[],COLUMN(INDIRECT("tblData[[Day 8]]")),0)=0,"",VLOOKUP('Data Entry Form'!$CG14,tblData[],COLUMN(INDIRECT("tblData[[Day 8]]")),0)),"")</calculatedColumnFormula>
    </tableColumn>
    <tableColumn id="14" xr3:uid="{00000000-0010-0000-0E00-00000E000000}" name="Day 9" dataDxfId="37">
      <calculatedColumnFormula>IFERROR(IF(VLOOKUP('Data Entry Form'!$CG14,tblData[],COLUMN(INDIRECT("tblData[[Day 9]]")),0)=0,"",VLOOKUP('Data Entry Form'!$CG14,tblData[],COLUMN(INDIRECT("tblData[[Day 9]]")),0)),"")</calculatedColumnFormula>
    </tableColumn>
  </tableColumns>
  <tableStyleInfo name="CheckInListe" showFirstColumn="0" showLastColumn="0" showRowStripes="1" showColumnStripes="0"/>
</table>
</file>

<file path=xl/tables/table1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8" xr:uid="{00000000-000C-0000-FFFF-FFFF0F000000}" name="tblFederation" displayName="tblFederation" ref="A1:G2" totalsRowShown="0" headerRowDxfId="26" dataDxfId="24" headerRowBorderDxfId="25" tableBorderDxfId="23" totalsRowBorderDxfId="22">
  <autoFilter ref="A1:G2" xr:uid="{00000000-0009-0000-0100-000012000000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</autoFilter>
  <tableColumns count="7">
    <tableColumn id="1" xr3:uid="{00000000-0010-0000-0F00-000001000000}" name="Federation" dataDxfId="21">
      <calculatedColumnFormula>IF(ISBLANK(Federation),"",Federation)</calculatedColumnFormula>
    </tableColumn>
    <tableColumn id="3" xr3:uid="{00000000-0010-0000-0F00-000003000000}" name="Contact Person" dataDxfId="20">
      <calculatedColumnFormula>IF(ISBLANK(ContactPerson),"",ContactPerson)</calculatedColumnFormula>
    </tableColumn>
    <tableColumn id="4" xr3:uid="{00000000-0010-0000-0F00-000004000000}" name="Position" dataDxfId="19">
      <calculatedColumnFormula>IF(ISBLANK(Position),"",Position)</calculatedColumnFormula>
    </tableColumn>
    <tableColumn id="5" xr3:uid="{00000000-0010-0000-0F00-000005000000}" name="Phone number" dataDxfId="18">
      <calculatedColumnFormula>IF(ISBLANK(PhoneNumber),"",PhoneNumber)</calculatedColumnFormula>
    </tableColumn>
    <tableColumn id="6" xr3:uid="{00000000-0010-0000-0F00-000006000000}" name="Email" dataDxfId="17">
      <calculatedColumnFormula>IF(ISBLANK(Email),"",Email)</calculatedColumnFormula>
    </tableColumn>
    <tableColumn id="7" xr3:uid="{00000000-0010-0000-0F00-000007000000}" name="Zugewiesene Unterkunft" dataDxfId="16">
      <calculatedColumnFormula>IF(ISBLANK(Unterkunft),"",Unterkunft)</calculatedColumnFormula>
    </tableColumn>
    <tableColumn id="8" xr3:uid="{00000000-0010-0000-0F00-000008000000}" name="Zugewiesene Kategorie" dataDxfId="15">
      <calculatedColumnFormula>IF(ISBLANK(AssignedCategory),"",AssignedCategory)</calculatedColumnFormula>
    </tableColumn>
  </tableColumns>
  <tableStyleInfo name="TableStyleLight6" showFirstColumn="0" showLastColumn="0" showRowStripes="0" showColumnStripes="0"/>
</table>
</file>

<file path=xl/tables/table1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10000000}" name="tblWeightOrFunction" displayName="tblWeightOrFunction" ref="A2:G32" totalsRowShown="0" headerRowDxfId="9">
  <autoFilter ref="A2:G32" xr:uid="{00000000-0009-0000-0100-000001000000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</autoFilter>
  <tableColumns count="7">
    <tableColumn id="1" xr3:uid="{00000000-0010-0000-1000-000001000000}" name="Category">
      <calculatedColumnFormula>C3&amp;" "&amp;D3</calculatedColumnFormula>
    </tableColumn>
    <tableColumn id="7" xr3:uid="{00000000-0010-0000-1000-000007000000}" name="Gender"/>
    <tableColumn id="2" xr3:uid="{00000000-0010-0000-1000-000002000000}" name="Type"/>
    <tableColumn id="3" xr3:uid="{00000000-0010-0000-1000-000003000000}" name="SubType1"/>
    <tableColumn id="4" xr3:uid="{00000000-0010-0000-1000-000004000000}" name="SubType2"/>
    <tableColumn id="5" xr3:uid="{00000000-0010-0000-1000-000005000000}" name="Position" dataDxfId="8">
      <calculatedColumnFormula>tblWeightOrFunction[[#This Row],[SubType2]]</calculatedColumnFormula>
    </tableColumn>
    <tableColumn id="6" xr3:uid="{00000000-0010-0000-1000-000006000000}" name="SortOrder"/>
  </tableColumns>
  <tableStyleInfo name="TableStyleMedium9" showFirstColumn="0" showLastColumn="0" showRowStripes="1" showColumnStripes="0"/>
</table>
</file>

<file path=xl/tables/table1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11000000}" name="tblTrainingCamp" displayName="tblTrainingCamp" ref="K2:K4" totalsRowShown="0">
  <autoFilter ref="K2:K4" xr:uid="{00000000-0009-0000-0100-000003000000}">
    <filterColumn colId="0" hiddenButton="1"/>
  </autoFilter>
  <tableColumns count="1">
    <tableColumn id="1" xr3:uid="{00000000-0010-0000-1100-000001000000}" name="TrainingCamp"/>
  </tableColumns>
  <tableStyleInfo name="TableStyleMedium9" showFirstColumn="0" showLastColumn="0" showRowStripes="1" showColumnStripes="0"/>
</table>
</file>

<file path=xl/tables/table1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12000000}" name="tblArrivalDates" displayName="tblArrivalDates" ref="M2:M10" totalsRowShown="0">
  <autoFilter ref="M2:M10" xr:uid="{00000000-0009-0000-0100-000004000000}">
    <filterColumn colId="0" hiddenButton="1"/>
  </autoFilter>
  <tableColumns count="1">
    <tableColumn id="1" xr3:uid="{00000000-0010-0000-1200-000001000000}" name="ArrivalDate" dataDxfId="7"/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6" xr:uid="{00000000-000C-0000-FFFF-FFFF01000000}" name="tblCoachesAndOfficials" displayName="tblCoachesAndOfficials" ref="BI13:BI123" totalsRowShown="0" headerRowDxfId="106" dataDxfId="105">
  <autoFilter ref="BI13:BI123" xr:uid="{00000000-0009-0000-0100-000010000000}">
    <filterColumn colId="0" hiddenButton="1"/>
  </autoFilter>
  <tableColumns count="1">
    <tableColumn id="1" xr3:uid="{00000000-0010-0000-0100-000001000000}" name="Id" dataDxfId="104">
      <calculatedColumnFormula array="1">IF(ROWS(tblData[[#Headers],[Id]]:tblData[[#This Row],[Id]])-1&gt;$BI$11,"",INDEX(tblData[Id],SMALL(IF(LEN(TRIM(tblData[Surname]))*((tblData[Type]=$BI$9)+(tblData[Type]=$BI$10)),ROW(tblData[Id])-ROW(tblData[[#Headers],[Id]])),ROWS(tblData[[#Headers],[Id]]:tblData[[#This Row],[Id]])-1)))</calculatedColumnFormula>
    </tableColumn>
  </tableColumns>
  <tableStyleInfo name="TableStyleMedium9" showFirstColumn="0" showLastColumn="0" showRowStripes="1" showColumnStripes="0"/>
</table>
</file>

<file path=xl/tables/table2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00000000-000C-0000-FFFF-FFFF13000000}" name="tblDepartureDates" displayName="tblDepartureDates" ref="O2:O8" totalsRowShown="0">
  <autoFilter ref="O2:O8" xr:uid="{00000000-0009-0000-0100-000005000000}">
    <filterColumn colId="0" hiddenButton="1"/>
  </autoFilter>
  <tableColumns count="1">
    <tableColumn id="1" xr3:uid="{00000000-0010-0000-1300-000001000000}" name="DepartureDate" dataDxfId="6"/>
  </tableColumns>
  <tableStyleInfo name="TableStyleMedium9" showFirstColumn="0" showLastColumn="0" showRowStripes="1" showColumnStripes="0"/>
</table>
</file>

<file path=xl/tables/table2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00000000-000C-0000-FFFF-FFFF14000000}" name="tblTravelLocations" displayName="tblTravelLocations" ref="Q2:Q6" totalsRowShown="0">
  <autoFilter ref="Q2:Q6" xr:uid="{00000000-0009-0000-0100-000006000000}">
    <filterColumn colId="0" hiddenButton="1"/>
  </autoFilter>
  <tableColumns count="1">
    <tableColumn id="1" xr3:uid="{00000000-0010-0000-1400-000001000000}" name="TravelLocation"/>
  </tableColumns>
  <tableStyleInfo name="TableStyleMedium9" showFirstColumn="0" showLastColumn="0" showRowStripes="1" showColumnStripes="0"/>
</table>
</file>

<file path=xl/tables/table2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00000000-000C-0000-FFFF-FFFF15000000}" name="tblTransferLocations" displayName="tblTransferLocations" ref="S2:S4" totalsRowShown="0">
  <autoFilter ref="S2:S4" xr:uid="{00000000-0009-0000-0100-000007000000}">
    <filterColumn colId="0" hiddenButton="1"/>
  </autoFilter>
  <tableColumns count="1">
    <tableColumn id="1" xr3:uid="{00000000-0010-0000-1500-000001000000}" name="TransferLocation"/>
  </tableColumns>
  <tableStyleInfo name="TableStyleMedium9" showFirstColumn="0" showLastColumn="0" showRowStripes="1" showColumnStripes="0"/>
</table>
</file>

<file path=xl/tables/table2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00000000-000C-0000-FFFF-FFFF16000000}" name="tblHotelCategories" displayName="tblHotelCategories" ref="W2:X4" totalsRowShown="0">
  <autoFilter ref="W2:X4" xr:uid="{00000000-0009-0000-0100-000008000000}">
    <filterColumn colId="0" hiddenButton="1"/>
    <filterColumn colId="1" hiddenButton="1"/>
  </autoFilter>
  <tableColumns count="2">
    <tableColumn id="1" xr3:uid="{00000000-0010-0000-1600-000001000000}" name="Category"/>
    <tableColumn id="2" xr3:uid="{00000000-0010-0000-1600-000002000000}" name="Code"/>
  </tableColumns>
  <tableStyleInfo name="TableStyleMedium7" showFirstColumn="0" showLastColumn="0" showRowStripes="1" showColumnStripes="0"/>
</table>
</file>

<file path=xl/tables/table2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00000000-000C-0000-FFFF-FFFF17000000}" name="tblRoomPrices" displayName="tblRoomPrices" ref="Z2:AC8" totalsRowShown="0">
  <autoFilter ref="Z2:AC8" xr:uid="{00000000-0009-0000-0100-000009000000}">
    <filterColumn colId="0" hiddenButton="1"/>
    <filterColumn colId="1" hiddenButton="1"/>
    <filterColumn colId="2" hiddenButton="1"/>
    <filterColumn colId="3" hiddenButton="1"/>
  </autoFilter>
  <tableColumns count="4">
    <tableColumn id="1" xr3:uid="{00000000-0010-0000-1700-000001000000}" name="Code">
      <calculatedColumnFormula>tblRoomPrices[[#This Row],[Category]]&amp;", "&amp;tblRoomPrices[[#This Row],[Size]]</calculatedColumnFormula>
    </tableColumn>
    <tableColumn id="2" xr3:uid="{00000000-0010-0000-1700-000002000000}" name="Category"/>
    <tableColumn id="3" xr3:uid="{00000000-0010-0000-1700-000003000000}" name="Size"/>
    <tableColumn id="4" xr3:uid="{00000000-0010-0000-1700-000004000000}" name="Price" dataDxfId="5"/>
  </tableColumns>
  <tableStyleInfo name="TableStyleMedium7" showFirstColumn="0" showLastColumn="0" showRowStripes="1" showColumnStripes="0"/>
</table>
</file>

<file path=xl/tables/table2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00000000-000C-0000-FFFF-FFFF18000000}" name="tblMealPrices" displayName="tblMealPrices" ref="AE2:AF4" totalsRowShown="0">
  <autoFilter ref="AE2:AF4" xr:uid="{00000000-0009-0000-0100-00000A000000}">
    <filterColumn colId="0" hiddenButton="1"/>
    <filterColumn colId="1" hiddenButton="1"/>
  </autoFilter>
  <tableColumns count="2">
    <tableColumn id="1" xr3:uid="{00000000-0010-0000-1800-000001000000}" name="Category"/>
    <tableColumn id="2" xr3:uid="{00000000-0010-0000-1800-000002000000}" name="Price" dataDxfId="4"/>
  </tableColumns>
  <tableStyleInfo name="TableStyleMedium7" showFirstColumn="0" showLastColumn="0" showRowStripes="1" showColumnStripes="0"/>
</table>
</file>

<file path=xl/tables/table2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00000000-000C-0000-FFFF-FFFF19000000}" name="tblLodgingTypes" displayName="tblLodgingTypes" ref="AH2:AI5" totalsRowShown="0">
  <autoFilter ref="AH2:AI5" xr:uid="{00000000-0009-0000-0100-00000B000000}">
    <filterColumn colId="0" hiddenButton="1"/>
    <filterColumn colId="1" hiddenButton="1"/>
  </autoFilter>
  <tableColumns count="2">
    <tableColumn id="1" xr3:uid="{00000000-0010-0000-1900-000001000000}" name="Code"/>
    <tableColumn id="2" xr3:uid="{00000000-0010-0000-1900-000002000000}" name="Quantity"/>
  </tableColumns>
  <tableStyleInfo name="TableStyleMedium7" showFirstColumn="0" showLastColumn="0" showRowStripes="1" showColumnStripes="0"/>
</table>
</file>

<file path=xl/tables/table2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" xr:uid="{00000000-000C-0000-FFFF-FFFF1A000000}" name="tblAccommodationCosts" displayName="tblAccommodationCosts" ref="AO2:AS20" totalsRowShown="0">
  <autoFilter ref="AO2:AS20" xr:uid="{00000000-0009-0000-0100-00000C000000}">
    <filterColumn colId="0" hiddenButton="1"/>
    <filterColumn colId="1" hiddenButton="1"/>
    <filterColumn colId="2" hiddenButton="1"/>
    <filterColumn colId="3" hiddenButton="1"/>
    <filterColumn colId="4" hiddenButton="1"/>
  </autoFilter>
  <tableColumns count="5">
    <tableColumn id="1" xr3:uid="{00000000-0010-0000-1A00-000001000000}" name="Code" dataDxfId="3">
      <calculatedColumnFormula>tblAccommodationCosts[[#This Row],[Category]]&amp;", "&amp;tblAccommodationCosts[[#This Row],[Size]]&amp;" / "&amp;tblAccommodationCosts[[#This Row],[Lodging]]</calculatedColumnFormula>
    </tableColumn>
    <tableColumn id="2" xr3:uid="{00000000-0010-0000-1A00-000002000000}" name="Category"/>
    <tableColumn id="4" xr3:uid="{00000000-0010-0000-1A00-000004000000}" name="Size"/>
    <tableColumn id="3" xr3:uid="{00000000-0010-0000-1A00-000003000000}" name="Lodging"/>
    <tableColumn id="5" xr3:uid="{00000000-0010-0000-1A00-000005000000}" name="Price" dataDxfId="2">
      <calculatedColumnFormula>VLOOKUP(tblAccommodationCosts[[#This Row],[Category]]&amp;", "&amp;tblAccommodationCosts[[#This Row],[Size]],tblRoomPrices[],4,FALSE)+VLOOKUP(tblAccommodationCosts[[#This Row],[Category]],tblMealPrices[],2,FALSE)*VLOOKUP(tblAccommodationCosts[[#This Row],[Lodging]],tblLodgingTypes[],2,FALSE)</calculatedColumnFormula>
    </tableColumn>
  </tableColumns>
  <tableStyleInfo name="TableStyleMedium7" showFirstColumn="0" showLastColumn="0" showRowStripes="1" showColumnStripes="0"/>
</table>
</file>

<file path=xl/tables/table2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00000000-000C-0000-FFFF-FFFF1B000000}" name="tblLocomotionTypes" displayName="tblLocomotionTypes" ref="U2:U5" totalsRowShown="0">
  <autoFilter ref="U2:U5" xr:uid="{00000000-0009-0000-0100-00000D000000}">
    <filterColumn colId="0" hiddenButton="1"/>
  </autoFilter>
  <tableColumns count="1">
    <tableColumn id="1" xr3:uid="{00000000-0010-0000-1B00-000001000000}" name="LocomotionType"/>
  </tableColumns>
  <tableStyleInfo name="TableStyleMedium9" showFirstColumn="0" showLastColumn="0" showRowStripes="1" showColumnStripes="0"/>
</table>
</file>

<file path=xl/tables/table2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4" xr:uid="{00000000-000C-0000-FFFF-FFFF1C000000}" name="tblRoomAndLodgings" displayName="tblRoomAndLodgings" ref="AK2:AM11" totalsRowShown="0">
  <autoFilter ref="AK2:AM11" xr:uid="{00000000-0009-0000-0100-00000E000000}">
    <filterColumn colId="0" hiddenButton="1"/>
    <filterColumn colId="1" hiddenButton="1"/>
    <filterColumn colId="2" hiddenButton="1"/>
  </autoFilter>
  <tableColumns count="3">
    <tableColumn id="1" xr3:uid="{00000000-0010-0000-1C00-000001000000}" name="Code" dataDxfId="1">
      <calculatedColumnFormula>tblRoomAndLodgings[[#This Row],[Room]]&amp;" / "&amp;tblRoomAndLodgings[[#This Row],[Lodging]]</calculatedColumnFormula>
    </tableColumn>
    <tableColumn id="2" xr3:uid="{00000000-0010-0000-1C00-000002000000}" name="Lodging"/>
    <tableColumn id="3" xr3:uid="{00000000-0010-0000-1C00-000003000000}" name="Room"/>
  </tableColumns>
  <tableStyleInfo name="TableStyleMedium7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7" xr:uid="{00000000-000C-0000-FFFF-FFFF02000000}" name="tblCoachesAndOfficialsSorted" displayName="tblCoachesAndOfficialsSorted" ref="BK13:BK123" totalsRowShown="0" headerRowDxfId="103" dataDxfId="102">
  <autoFilter ref="BK13:BK123" xr:uid="{00000000-0009-0000-0100-000011000000}">
    <filterColumn colId="0" hiddenButton="1"/>
  </autoFilter>
  <tableColumns count="1">
    <tableColumn id="1" xr3:uid="{00000000-0010-0000-0200-000001000000}" name="Id" dataDxfId="101">
      <calculatedColumnFormula>IF(ROWS(tblCoachesAndOfficialsSorted[[#Headers],[Id]]:tblCoachesAndOfficialsSorted[[#This Row],[Id]])-1&gt;$BK$11,"",SMALL(tblCoachesAndOfficials[Id],ROWS(tblCoachesAndOfficialsSorted[[#Headers],[Id]]:tblCoachesAndOfficialsSorted[[#This Row],[Id]])-1))</calculatedColumnFormula>
    </tableColumn>
  </tableColumns>
  <tableStyleInfo name="TableStyleMedium9" showFirstColumn="0" showLastColumn="0" showRowStripes="1" showColumnStripes="0"/>
</table>
</file>

<file path=xl/tables/table3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1D000000}" name="tblGender" displayName="tblGender" ref="I2:I4" totalsRowShown="0" headerRowDxfId="0">
  <autoFilter ref="I2:I4" xr:uid="{00000000-0009-0000-0100-000002000000}">
    <filterColumn colId="0" hiddenButton="1"/>
  </autoFilter>
  <tableColumns count="1">
    <tableColumn id="1" xr3:uid="{00000000-0010-0000-1D00-000001000000}" name="Gender"/>
  </tableColumns>
  <tableStyleInfo name="TableStyleMedium9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9" xr:uid="{00000000-000C-0000-FFFF-FFFF03000000}" name="tblWomen" displayName="tblWomen" ref="BM13:BM123" totalsRowShown="0" headerRowDxfId="100" dataDxfId="99">
  <autoFilter ref="BM13:BM123" xr:uid="{00000000-0009-0000-0100-000013000000}">
    <filterColumn colId="0" hiddenButton="1"/>
  </autoFilter>
  <tableColumns count="1">
    <tableColumn id="1" xr3:uid="{00000000-0010-0000-0300-000001000000}" name="Id" dataDxfId="98">
      <calculatedColumnFormula array="1">IF(ROWS(tblData[[#Headers],[Id]]:tblData[[#This Row],[Id]])-1&gt;$BM$11,"",INDEX(tblData[Id],SMALL(IF(LEN(TRIM(tblData[Surname]))*(tblData[Type]=$BM$9),ROW(tblData[Id])-ROW(tblData[[#Headers],[Id]])),ROWS(tblData[[#Headers],[Id]]:tblData[[#This Row],[Id]])-1)))</calculatedColumnFormula>
    </tableColumn>
  </tableColumns>
  <tableStyleInfo name="TableStyleMedium9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0" xr:uid="{00000000-000C-0000-FFFF-FFFF04000000}" name="tblMen" displayName="tblMen" ref="BQ13:BQ123" totalsRowShown="0" headerRowDxfId="97" dataDxfId="96">
  <autoFilter ref="BQ13:BQ123" xr:uid="{00000000-0009-0000-0100-000014000000}">
    <filterColumn colId="0" hiddenButton="1"/>
  </autoFilter>
  <tableColumns count="1">
    <tableColumn id="1" xr3:uid="{00000000-0010-0000-0400-000001000000}" name="Id" dataDxfId="95">
      <calculatedColumnFormula array="1">IF(ROWS(tblData[[#Headers],[Id]]:tblData[[#This Row],[Id]])-1&gt;$BQ$11,"",INDEX(tblData[Id],SMALL(IF(LEN(TRIM(tblData[Surname]))*(tblData[Type]=$BQ$9),ROW(tblData[Id])-ROW(tblData[[#Headers],[Id]])),ROWS(tblData[[#Headers],[Id]]:tblData[[#This Row],[Id]])-1)))</calculatedColumnFormula>
    </tableColumn>
  </tableColumns>
  <tableStyleInfo name="TableStyleMedium9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1" xr:uid="{00000000-000C-0000-FFFF-FFFF05000000}" name="tblWomenSorted" displayName="tblWomenSorted" ref="BO13:BO123" totalsRowShown="0" headerRowDxfId="94" dataDxfId="93">
  <autoFilter ref="BO13:BO123" xr:uid="{00000000-0009-0000-0100-000015000000}">
    <filterColumn colId="0" hiddenButton="1"/>
  </autoFilter>
  <tableColumns count="1">
    <tableColumn id="2" xr3:uid="{00000000-0010-0000-0500-000002000000}" name="Id" dataDxfId="92">
      <calculatedColumnFormula>IF(ROWS(tblWomenSorted[[#Headers],[Id]]:tblWomenSorted[[#This Row],[Id]])-1&gt;$BO$11,"",SMALL(tblWomen[Id],ROWS(tblWomenSorted[[#Headers],[Id]]:tblWomenSorted[[#This Row],[Id]])-1))</calculatedColumnFormula>
    </tableColumn>
  </tableColumns>
  <tableStyleInfo name="TableStyleMedium9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2" xr:uid="{00000000-000C-0000-FFFF-FFFF06000000}" name="tblMenSorted" displayName="tblMenSorted" ref="BS13:BS123" totalsRowShown="0" headerRowDxfId="91" dataDxfId="90">
  <autoFilter ref="BS13:BS123" xr:uid="{00000000-0009-0000-0100-000016000000}">
    <filterColumn colId="0" hiddenButton="1"/>
  </autoFilter>
  <tableColumns count="1">
    <tableColumn id="1" xr3:uid="{00000000-0010-0000-0600-000001000000}" name="Id" dataDxfId="89">
      <calculatedColumnFormula>IF(ROWS(tblMenSorted[[#Headers],[Id]]:tblMenSorted[[#This Row],[Id]])-1&gt;$BS$11,"",SMALL(tblMen[Id],ROWS(tblMenSorted[[#Headers],[Id]]:tblMenSorted[[#This Row],[Id]])-1))</calculatedColumnFormula>
    </tableColumn>
  </tableColumns>
  <tableStyleInfo name="TableStyleMedium9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3" xr:uid="{00000000-000C-0000-FFFF-FFFF07000000}" name="tblVisas" displayName="tblVisas" ref="BU13:BU123" totalsRowShown="0" headerRowDxfId="88" dataDxfId="87">
  <autoFilter ref="BU13:BU123" xr:uid="{00000000-0009-0000-0100-000017000000}">
    <filterColumn colId="0" hiddenButton="1"/>
  </autoFilter>
  <tableColumns count="1">
    <tableColumn id="1" xr3:uid="{00000000-0010-0000-0700-000001000000}" name="Id" dataDxfId="86">
      <calculatedColumnFormula array="1">IF(ROWS(tblData[[#Headers],[Sorted Name Id]]:tblData[[#This Row],[Sorted Name Id]])-1&gt;$BU$11,"",INDEX(tblData[Sorted Name Id],SMALL(IF(LEN(TRIM(tblData[Surname]))*(tblData[Visa required]="YES"),ROW(tblData[Sorted Name Id])-ROW(tblData[[#Headers],[Sorted Name Id]])),ROWS(tblData[[#Headers],[Sorted Name Id]]:tblData[[#This Row],[Sorted Name Id]])-1)))</calculatedColumnFormula>
    </tableColumn>
  </tableColumns>
  <tableStyleInfo name="TableStyleMedium9" showFirstColumn="0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4" xr:uid="{00000000-000C-0000-FFFF-FFFF08000000}" name="tblVisasSorted" displayName="tblVisasSorted" ref="BW13:BW123" totalsRowShown="0" headerRowDxfId="85" dataDxfId="83" headerRowBorderDxfId="84">
  <autoFilter ref="BW13:BW123" xr:uid="{00000000-0009-0000-0100-000018000000}">
    <filterColumn colId="0" hiddenButton="1"/>
  </autoFilter>
  <tableColumns count="1">
    <tableColumn id="1" xr3:uid="{00000000-0010-0000-0800-000001000000}" name="Id" dataDxfId="82">
      <calculatedColumnFormula>IF(ROWS(tblVisasSorted[[#Headers],[Id]]:tblVisasSorted[[#This Row],[Id]])-1&gt;$BW$11,"",SMALL(tblVisas[Id],ROWS(tblVisasSorted[[#Headers],[Id]]:tblVisasSorted[[#This Row],[Id]])-1))</calculatedColumnFormula>
    </tableColumn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Office-Design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table" Target="../tables/table6.xml"/><Relationship Id="rId13" Type="http://schemas.openxmlformats.org/officeDocument/2006/relationships/table" Target="../tables/table11.xml"/><Relationship Id="rId3" Type="http://schemas.openxmlformats.org/officeDocument/2006/relationships/table" Target="../tables/table1.xml"/><Relationship Id="rId7" Type="http://schemas.openxmlformats.org/officeDocument/2006/relationships/table" Target="../tables/table5.xml"/><Relationship Id="rId12" Type="http://schemas.openxmlformats.org/officeDocument/2006/relationships/table" Target="../tables/table10.xml"/><Relationship Id="rId2" Type="http://schemas.openxmlformats.org/officeDocument/2006/relationships/drawing" Target="../drawings/drawing1.xml"/><Relationship Id="rId16" Type="http://schemas.openxmlformats.org/officeDocument/2006/relationships/table" Target="../tables/table14.xml"/><Relationship Id="rId1" Type="http://schemas.openxmlformats.org/officeDocument/2006/relationships/printerSettings" Target="../printerSettings/printerSettings1.bin"/><Relationship Id="rId6" Type="http://schemas.openxmlformats.org/officeDocument/2006/relationships/table" Target="../tables/table4.xml"/><Relationship Id="rId11" Type="http://schemas.openxmlformats.org/officeDocument/2006/relationships/table" Target="../tables/table9.xml"/><Relationship Id="rId5" Type="http://schemas.openxmlformats.org/officeDocument/2006/relationships/table" Target="../tables/table3.xml"/><Relationship Id="rId15" Type="http://schemas.openxmlformats.org/officeDocument/2006/relationships/table" Target="../tables/table13.xml"/><Relationship Id="rId10" Type="http://schemas.openxmlformats.org/officeDocument/2006/relationships/table" Target="../tables/table8.xml"/><Relationship Id="rId4" Type="http://schemas.openxmlformats.org/officeDocument/2006/relationships/table" Target="../tables/table2.xml"/><Relationship Id="rId9" Type="http://schemas.openxmlformats.org/officeDocument/2006/relationships/table" Target="../tables/table7.xml"/><Relationship Id="rId14" Type="http://schemas.openxmlformats.org/officeDocument/2006/relationships/table" Target="../tables/table12.xm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6.xml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8" Type="http://schemas.openxmlformats.org/officeDocument/2006/relationships/table" Target="../tables/table23.xml"/><Relationship Id="rId13" Type="http://schemas.openxmlformats.org/officeDocument/2006/relationships/table" Target="../tables/table28.xml"/><Relationship Id="rId3" Type="http://schemas.openxmlformats.org/officeDocument/2006/relationships/table" Target="../tables/table18.xml"/><Relationship Id="rId7" Type="http://schemas.openxmlformats.org/officeDocument/2006/relationships/table" Target="../tables/table22.xml"/><Relationship Id="rId12" Type="http://schemas.openxmlformats.org/officeDocument/2006/relationships/table" Target="../tables/table27.xml"/><Relationship Id="rId2" Type="http://schemas.openxmlformats.org/officeDocument/2006/relationships/table" Target="../tables/table17.xml"/><Relationship Id="rId1" Type="http://schemas.openxmlformats.org/officeDocument/2006/relationships/printerSettings" Target="../printerSettings/printerSettings14.bin"/><Relationship Id="rId6" Type="http://schemas.openxmlformats.org/officeDocument/2006/relationships/table" Target="../tables/table21.xml"/><Relationship Id="rId11" Type="http://schemas.openxmlformats.org/officeDocument/2006/relationships/table" Target="../tables/table26.xml"/><Relationship Id="rId5" Type="http://schemas.openxmlformats.org/officeDocument/2006/relationships/table" Target="../tables/table20.xml"/><Relationship Id="rId15" Type="http://schemas.openxmlformats.org/officeDocument/2006/relationships/table" Target="../tables/table30.xml"/><Relationship Id="rId10" Type="http://schemas.openxmlformats.org/officeDocument/2006/relationships/table" Target="../tables/table25.xml"/><Relationship Id="rId4" Type="http://schemas.openxmlformats.org/officeDocument/2006/relationships/table" Target="../tables/table19.xml"/><Relationship Id="rId9" Type="http://schemas.openxmlformats.org/officeDocument/2006/relationships/table" Target="../tables/table24.xml"/><Relationship Id="rId14" Type="http://schemas.openxmlformats.org/officeDocument/2006/relationships/table" Target="../tables/table29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5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1">
    <tabColor rgb="FF00B050"/>
    <pageSetUpPr fitToPage="1"/>
  </sheetPr>
  <dimension ref="A1:CH126"/>
  <sheetViews>
    <sheetView showGridLines="0" showRowColHeaders="0" tabSelected="1" zoomScaleNormal="100" zoomScalePageLayoutView="90" workbookViewId="0">
      <pane xSplit="8" ySplit="13" topLeftCell="I26" activePane="bottomRight" state="frozen"/>
      <selection activeCell="J34" sqref="J34"/>
      <selection pane="topRight" activeCell="J34" sqref="J34"/>
      <selection pane="bottomLeft" activeCell="J34" sqref="J34"/>
      <selection pane="bottomRight" activeCell="G4" sqref="G4:H4"/>
    </sheetView>
  </sheetViews>
  <sheetFormatPr baseColWidth="10" defaultRowHeight="15.75"/>
  <cols>
    <col min="1" max="1" width="8.5" hidden="1" customWidth="1"/>
    <col min="2" max="4" width="10.875" hidden="1" customWidth="1"/>
    <col min="5" max="5" width="4.875" customWidth="1"/>
    <col min="6" max="7" width="15.375" customWidth="1"/>
    <col min="8" max="8" width="22.625" customWidth="1"/>
    <col min="9" max="10" width="12" customWidth="1"/>
    <col min="11" max="12" width="8.375" customWidth="1"/>
    <col min="13" max="14" width="13.375" customWidth="1"/>
    <col min="15" max="15" width="11.625" customWidth="1"/>
    <col min="16" max="17" width="11.875" customWidth="1"/>
    <col min="18" max="19" width="10" customWidth="1"/>
    <col min="20" max="21" width="14.5" customWidth="1"/>
    <col min="22" max="22" width="11.625" customWidth="1"/>
    <col min="23" max="23" width="12.125" customWidth="1"/>
    <col min="24" max="24" width="10" style="24" customWidth="1"/>
    <col min="25" max="25" width="10" style="62" customWidth="1"/>
    <col min="26" max="27" width="14.5" customWidth="1"/>
    <col min="28" max="28" width="11.625" customWidth="1"/>
    <col min="29" max="29" width="12.125" customWidth="1"/>
    <col min="30" max="30" width="16.625" customWidth="1"/>
    <col min="31" max="31" width="16.625" style="24" customWidth="1"/>
    <col min="32" max="32" width="11.625" style="62" customWidth="1"/>
    <col min="33" max="40" width="11.625" customWidth="1"/>
    <col min="42" max="43" width="10.875" hidden="1" customWidth="1"/>
    <col min="44" max="44" width="10.875" customWidth="1"/>
    <col min="45" max="45" width="12.5" customWidth="1"/>
    <col min="46" max="49" width="10.875" hidden="1" customWidth="1"/>
    <col min="50" max="51" width="7.625" hidden="1" customWidth="1"/>
    <col min="52" max="52" width="13.625" hidden="1" customWidth="1"/>
    <col min="53" max="53" width="15" hidden="1" customWidth="1"/>
    <col min="54" max="54" width="11.375" hidden="1" customWidth="1"/>
    <col min="55" max="56" width="18.375" hidden="1" customWidth="1"/>
    <col min="57" max="57" width="14.5" hidden="1" customWidth="1"/>
    <col min="58" max="59" width="15" customWidth="1"/>
    <col min="60" max="60" width="12.375" style="68" hidden="1" customWidth="1"/>
    <col min="61" max="61" width="19" style="68" hidden="1" customWidth="1"/>
    <col min="62" max="62" width="4.875" style="68" hidden="1" customWidth="1"/>
    <col min="63" max="63" width="19" style="68" hidden="1" customWidth="1"/>
    <col min="64" max="64" width="4.875" style="68" hidden="1" customWidth="1"/>
    <col min="65" max="65" width="8.875" hidden="1" customWidth="1"/>
    <col min="66" max="66" width="4.875" hidden="1" customWidth="1"/>
    <col min="67" max="67" width="8" hidden="1" customWidth="1"/>
    <col min="68" max="68" width="4.875" hidden="1" customWidth="1"/>
    <col min="69" max="69" width="8.875" hidden="1" customWidth="1"/>
    <col min="70" max="70" width="4.875" hidden="1" customWidth="1"/>
    <col min="71" max="71" width="8" hidden="1" customWidth="1"/>
    <col min="72" max="72" width="4.875" hidden="1" customWidth="1"/>
    <col min="73" max="73" width="12.375" hidden="1" customWidth="1"/>
    <col min="74" max="74" width="4.875" hidden="1" customWidth="1"/>
    <col min="75" max="75" width="12.375" hidden="1" customWidth="1"/>
    <col min="76" max="76" width="4.875" hidden="1" customWidth="1"/>
    <col min="77" max="77" width="9" hidden="1" customWidth="1"/>
    <col min="78" max="78" width="4.875" hidden="1" customWidth="1"/>
    <col min="79" max="79" width="9" hidden="1" customWidth="1"/>
    <col min="80" max="80" width="4.875" hidden="1" customWidth="1"/>
    <col min="81" max="81" width="9.875" hidden="1" customWidth="1"/>
    <col min="82" max="82" width="4.875" hidden="1" customWidth="1"/>
    <col min="83" max="83" width="9.875" hidden="1" customWidth="1"/>
    <col min="84" max="84" width="4.875" hidden="1" customWidth="1"/>
    <col min="85" max="85" width="8.375" hidden="1" customWidth="1"/>
    <col min="86" max="86" width="10.875" hidden="1" customWidth="1"/>
    <col min="87" max="87" width="4.5" customWidth="1"/>
    <col min="88" max="88" width="10.875" customWidth="1"/>
    <col min="89" max="89" width="4.5" customWidth="1"/>
    <col min="90" max="90" width="10.875" customWidth="1"/>
  </cols>
  <sheetData>
    <row r="1" spans="1:85" ht="26.1" customHeight="1">
      <c r="E1" s="454" t="str">
        <f>Header1</f>
        <v>JUNIOR EUROPEAN JUDO CUP</v>
      </c>
      <c r="F1" s="454"/>
      <c r="G1" s="454"/>
      <c r="H1" s="454"/>
      <c r="I1" s="454"/>
      <c r="J1" s="454"/>
      <c r="K1" s="454"/>
      <c r="L1" s="30"/>
      <c r="M1" s="438" t="s">
        <v>276</v>
      </c>
      <c r="N1" s="439"/>
      <c r="O1" s="439"/>
      <c r="P1" s="439"/>
      <c r="S1" s="24"/>
      <c r="X1"/>
      <c r="Y1" s="24"/>
      <c r="AE1"/>
      <c r="AF1"/>
      <c r="AT1" s="30"/>
      <c r="AU1" s="30"/>
      <c r="AV1" s="30"/>
      <c r="AW1" s="30"/>
      <c r="AX1" s="30"/>
      <c r="AY1" s="62"/>
      <c r="AZ1" s="62"/>
      <c r="BA1" s="68"/>
      <c r="BB1" s="68"/>
      <c r="BC1" s="68"/>
      <c r="BD1" s="68"/>
      <c r="BE1" s="68"/>
      <c r="BH1"/>
      <c r="BI1"/>
      <c r="BJ1"/>
      <c r="BK1"/>
      <c r="BL1"/>
    </row>
    <row r="2" spans="1:85" ht="38.1" customHeight="1" thickBot="1">
      <c r="E2" s="455" t="str">
        <f>Header2</f>
        <v>IJF WORLD JUNIOR TOUR, June, 02 and 03, 2018 
EJU JUNIOR TRAINING CAMP, June 04 to 06, 2018 (Leibnitz - Austria)</v>
      </c>
      <c r="F2" s="455"/>
      <c r="G2" s="455"/>
      <c r="H2" s="455"/>
      <c r="I2" s="455"/>
      <c r="J2" s="455"/>
      <c r="K2" s="455"/>
      <c r="L2" s="31"/>
      <c r="M2" s="440"/>
      <c r="N2" s="440"/>
      <c r="O2" s="440"/>
      <c r="P2" s="440"/>
      <c r="S2" s="24"/>
      <c r="X2"/>
      <c r="Y2" s="24"/>
      <c r="AE2"/>
      <c r="AF2" s="32" t="s">
        <v>152</v>
      </c>
      <c r="AG2" s="176" t="s">
        <v>153</v>
      </c>
      <c r="AH2" s="32"/>
      <c r="AI2" s="32"/>
      <c r="AJ2" s="32"/>
      <c r="AK2" s="32"/>
      <c r="AL2" s="32"/>
      <c r="AM2" s="32"/>
      <c r="AN2" s="32"/>
      <c r="AY2" s="62"/>
      <c r="AZ2" s="62"/>
      <c r="BA2" s="68"/>
      <c r="BB2" s="68"/>
      <c r="BC2" s="68"/>
      <c r="BD2" s="68"/>
      <c r="BE2" s="68"/>
      <c r="BH2"/>
      <c r="BI2"/>
      <c r="BJ2"/>
      <c r="BK2"/>
      <c r="BL2"/>
    </row>
    <row r="3" spans="1:85" ht="17.100000000000001" customHeight="1" thickBot="1">
      <c r="M3" s="126"/>
      <c r="N3" s="126"/>
      <c r="O3" s="441" t="s">
        <v>181</v>
      </c>
      <c r="P3" s="442"/>
      <c r="Q3" s="442"/>
      <c r="R3" s="442"/>
      <c r="S3" s="442"/>
      <c r="T3" s="442"/>
      <c r="U3" s="443"/>
      <c r="X3"/>
      <c r="Y3" s="24"/>
      <c r="AE3"/>
      <c r="AF3" s="32" t="s">
        <v>154</v>
      </c>
      <c r="AG3" s="176" t="s">
        <v>155</v>
      </c>
      <c r="AH3" s="32"/>
      <c r="AI3" s="32"/>
      <c r="AJ3" s="32"/>
      <c r="AK3" s="32"/>
      <c r="AL3" s="32"/>
      <c r="AM3" s="32"/>
      <c r="AN3" s="32"/>
      <c r="AZ3" s="62"/>
      <c r="BA3" s="68"/>
      <c r="BB3" s="68"/>
      <c r="BC3" s="68"/>
      <c r="BD3" s="68"/>
      <c r="BE3" s="68"/>
      <c r="BH3"/>
      <c r="BI3"/>
      <c r="BJ3"/>
      <c r="BK3"/>
      <c r="BL3"/>
    </row>
    <row r="4" spans="1:85" ht="17.100000000000001" customHeight="1" thickBot="1">
      <c r="A4" s="458" t="s">
        <v>245</v>
      </c>
      <c r="B4" s="459"/>
      <c r="C4" s="459"/>
      <c r="D4" s="459"/>
      <c r="E4" s="459"/>
      <c r="F4" s="459"/>
      <c r="G4" s="450"/>
      <c r="H4" s="468"/>
      <c r="I4" s="123"/>
      <c r="J4" s="124"/>
      <c r="K4" s="124"/>
      <c r="O4" s="444"/>
      <c r="P4" s="445"/>
      <c r="Q4" s="445"/>
      <c r="R4" s="445"/>
      <c r="S4" s="445"/>
      <c r="T4" s="445"/>
      <c r="U4" s="446"/>
      <c r="X4"/>
      <c r="Y4" s="24"/>
      <c r="AE4"/>
      <c r="AF4" s="180" t="s">
        <v>156</v>
      </c>
      <c r="AG4" s="181" t="s">
        <v>157</v>
      </c>
      <c r="AH4" s="180"/>
      <c r="AI4" s="180"/>
      <c r="AJ4" s="180"/>
      <c r="AK4" s="180"/>
      <c r="AL4" s="180"/>
      <c r="AM4" s="180"/>
      <c r="AN4" s="180"/>
      <c r="AY4" s="63"/>
      <c r="AZ4" s="62"/>
      <c r="BA4" s="68"/>
      <c r="BB4" s="68"/>
      <c r="BC4" s="68"/>
      <c r="BD4" s="68"/>
      <c r="BE4" s="68"/>
      <c r="BH4"/>
      <c r="BI4"/>
      <c r="BJ4"/>
      <c r="BK4"/>
      <c r="BL4"/>
    </row>
    <row r="5" spans="1:85" ht="16.5" thickBot="1">
      <c r="A5" s="460" t="s">
        <v>246</v>
      </c>
      <c r="B5" s="461"/>
      <c r="C5" s="461"/>
      <c r="D5" s="461"/>
      <c r="E5" s="461"/>
      <c r="F5" s="461"/>
      <c r="G5" s="462"/>
      <c r="H5" s="463"/>
      <c r="I5" s="177" t="s">
        <v>249</v>
      </c>
      <c r="J5" s="450"/>
      <c r="K5" s="450"/>
      <c r="L5" s="450"/>
      <c r="M5" s="451"/>
      <c r="O5" s="444"/>
      <c r="P5" s="445"/>
      <c r="Q5" s="445"/>
      <c r="R5" s="445"/>
      <c r="S5" s="445"/>
      <c r="T5" s="445"/>
      <c r="U5" s="446"/>
      <c r="X5"/>
      <c r="Y5" s="24"/>
      <c r="AE5"/>
      <c r="AF5" s="476" t="str">
        <f>IF(ISBLANK(SelectedCategory),"No Category selected!",SelectedCategory)</f>
        <v>No Category selected!</v>
      </c>
      <c r="AG5" s="477"/>
      <c r="AH5" s="477"/>
      <c r="AI5" s="477"/>
      <c r="AJ5" s="477"/>
      <c r="AK5" s="477"/>
      <c r="AL5" s="477"/>
      <c r="AM5" s="477"/>
      <c r="AN5" s="478"/>
      <c r="AY5" s="61"/>
      <c r="AZ5" s="62"/>
      <c r="BA5" s="68"/>
      <c r="BB5" s="68"/>
      <c r="BC5" s="68"/>
      <c r="BD5" s="68"/>
      <c r="BE5" s="68"/>
      <c r="BH5"/>
      <c r="BI5"/>
      <c r="BJ5"/>
      <c r="BK5"/>
      <c r="BL5"/>
    </row>
    <row r="6" spans="1:85" ht="16.5" thickBot="1">
      <c r="A6" s="464" t="s">
        <v>247</v>
      </c>
      <c r="B6" s="465"/>
      <c r="C6" s="465"/>
      <c r="D6" s="465"/>
      <c r="E6" s="465"/>
      <c r="F6" s="465"/>
      <c r="G6" s="466"/>
      <c r="H6" s="467"/>
      <c r="I6" s="178" t="s">
        <v>248</v>
      </c>
      <c r="J6" s="452"/>
      <c r="K6" s="452"/>
      <c r="L6" s="452"/>
      <c r="M6" s="453"/>
      <c r="O6" s="447"/>
      <c r="P6" s="448"/>
      <c r="Q6" s="448"/>
      <c r="R6" s="448"/>
      <c r="S6" s="448"/>
      <c r="T6" s="448"/>
      <c r="U6" s="449"/>
      <c r="X6"/>
      <c r="Y6" s="24"/>
      <c r="AE6"/>
      <c r="AF6" s="479" t="s">
        <v>278</v>
      </c>
      <c r="AG6" s="480"/>
      <c r="AH6" s="481"/>
      <c r="AI6" s="479" t="s">
        <v>279</v>
      </c>
      <c r="AJ6" s="480"/>
      <c r="AK6" s="481"/>
      <c r="AL6" s="479" t="s">
        <v>280</v>
      </c>
      <c r="AM6" s="480"/>
      <c r="AN6" s="481"/>
      <c r="AY6" s="61"/>
      <c r="AZ6" s="62"/>
      <c r="BA6" s="68"/>
      <c r="BB6" s="68"/>
      <c r="BC6" s="68"/>
      <c r="BD6" s="68"/>
      <c r="BE6" s="68"/>
      <c r="BH6"/>
      <c r="BI6"/>
      <c r="BJ6"/>
      <c r="BK6"/>
      <c r="BL6"/>
    </row>
    <row r="7" spans="1:85" hidden="1">
      <c r="S7" s="24"/>
      <c r="X7"/>
      <c r="Y7" s="24"/>
      <c r="AE7"/>
      <c r="AF7" s="182" t="str">
        <f>Parameters!$AH$3</f>
        <v>BB</v>
      </c>
      <c r="AG7" s="183" t="str">
        <f>Parameters!$AH$3</f>
        <v>BB</v>
      </c>
      <c r="AH7" s="184" t="str">
        <f>Parameters!$AH$3</f>
        <v>BB</v>
      </c>
      <c r="AI7" s="182" t="str">
        <f>Parameters!$AH$4</f>
        <v>HB</v>
      </c>
      <c r="AJ7" s="183" t="str">
        <f>Parameters!$AH$4</f>
        <v>HB</v>
      </c>
      <c r="AK7" s="184" t="str">
        <f>Parameters!$AH$4</f>
        <v>HB</v>
      </c>
      <c r="AL7" s="182" t="str">
        <f>Parameters!$AH$5</f>
        <v>FB</v>
      </c>
      <c r="AM7" s="183" t="str">
        <f>Parameters!$AH$5</f>
        <v>FB</v>
      </c>
      <c r="AN7" s="184" t="str">
        <f>Parameters!$AH$5</f>
        <v>FB</v>
      </c>
      <c r="AY7" s="62"/>
      <c r="AZ7" s="62"/>
      <c r="BA7" s="68"/>
      <c r="BB7" s="68"/>
      <c r="BC7" s="68"/>
      <c r="BD7" s="68"/>
      <c r="BE7" s="68"/>
      <c r="BH7"/>
      <c r="BI7"/>
      <c r="BJ7"/>
      <c r="BK7"/>
      <c r="BL7"/>
    </row>
    <row r="8" spans="1:85" ht="16.5" thickBot="1">
      <c r="S8" s="24"/>
      <c r="X8"/>
      <c r="Y8" s="24"/>
      <c r="AE8"/>
      <c r="AF8" s="185" t="str">
        <f>Parameters!$AB$3</f>
        <v>Single</v>
      </c>
      <c r="AG8" s="186" t="str">
        <f>Parameters!$AB$4</f>
        <v>Double</v>
      </c>
      <c r="AH8" s="187" t="str">
        <f>Parameters!$AB$5</f>
        <v>Shared</v>
      </c>
      <c r="AI8" s="185" t="str">
        <f>Parameters!$AB$3</f>
        <v>Single</v>
      </c>
      <c r="AJ8" s="186" t="str">
        <f>Parameters!$AB$4</f>
        <v>Double</v>
      </c>
      <c r="AK8" s="187" t="str">
        <f>Parameters!$AB$5</f>
        <v>Shared</v>
      </c>
      <c r="AL8" s="185" t="str">
        <f>Parameters!$AB$3</f>
        <v>Single</v>
      </c>
      <c r="AM8" s="186" t="str">
        <f>Parameters!$AB$4</f>
        <v>Double</v>
      </c>
      <c r="AN8" s="187" t="str">
        <f>Parameters!$AB$5</f>
        <v>Shared</v>
      </c>
      <c r="AY8" s="62"/>
      <c r="AZ8" s="62"/>
      <c r="BA8" s="68"/>
      <c r="BB8" s="68"/>
      <c r="BC8" s="68"/>
      <c r="BD8" s="68"/>
      <c r="BE8" s="68"/>
      <c r="BH8"/>
      <c r="BI8" t="s">
        <v>113</v>
      </c>
      <c r="BJ8"/>
      <c r="BK8" t="s">
        <v>112</v>
      </c>
      <c r="BL8"/>
      <c r="BM8" t="s">
        <v>113</v>
      </c>
      <c r="BO8" t="s">
        <v>112</v>
      </c>
      <c r="BQ8" t="s">
        <v>113</v>
      </c>
      <c r="BS8" t="s">
        <v>112</v>
      </c>
      <c r="BU8" t="s">
        <v>113</v>
      </c>
      <c r="BW8" t="s">
        <v>112</v>
      </c>
      <c r="BY8" t="s">
        <v>113</v>
      </c>
      <c r="CA8" t="s">
        <v>112</v>
      </c>
      <c r="CC8" t="s">
        <v>113</v>
      </c>
      <c r="CE8" t="s">
        <v>112</v>
      </c>
    </row>
    <row r="9" spans="1:85" ht="16.5" thickBot="1">
      <c r="A9" s="469" t="s">
        <v>250</v>
      </c>
      <c r="B9" s="470"/>
      <c r="C9" s="470"/>
      <c r="D9" s="470"/>
      <c r="E9" s="470"/>
      <c r="F9" s="470"/>
      <c r="G9" s="470"/>
      <c r="H9" s="179"/>
      <c r="I9" s="475" t="str">
        <f>IF(ISBLANK(H9),"&lt;-- Please select preferred category for your team!",IF(H9="Category A", "If no more rooms are available in category A, rooms of category B will be provided.",""))</f>
        <v>&lt;-- Please select preferred category for your team!</v>
      </c>
      <c r="J9" s="475"/>
      <c r="K9" s="475"/>
      <c r="L9" s="475"/>
      <c r="M9" s="475"/>
      <c r="N9" s="475"/>
      <c r="O9" s="475"/>
      <c r="P9" s="475"/>
      <c r="Q9" s="475"/>
      <c r="S9" s="24"/>
      <c r="X9"/>
      <c r="Y9" s="24"/>
      <c r="AE9"/>
      <c r="AF9" s="188" t="str">
        <f>IFERROR(VLOOKUP(VLOOKUP($H$9,tblHotelCategories[],2,FALSE)&amp;", "&amp;AF8&amp;" / "&amp;AF7,tblAccommodationCosts[],5,FALSE),"No Cat!")</f>
        <v>No Cat!</v>
      </c>
      <c r="AG9" s="189" t="str">
        <f>IFERROR(VLOOKUP(VLOOKUP($H$9,tblHotelCategories[],2,FALSE)&amp;", "&amp;AG8&amp;" / "&amp;AG7,tblAccommodationCosts[],5,FALSE),"No Cat!")</f>
        <v>No Cat!</v>
      </c>
      <c r="AH9" s="190" t="str">
        <f>IFERROR(VLOOKUP(VLOOKUP($H$9,tblHotelCategories[],2,FALSE)&amp;", "&amp;AH8&amp;" / "&amp;AH7,tblAccommodationCosts[],5,FALSE),"No Cat!")</f>
        <v>No Cat!</v>
      </c>
      <c r="AI9" s="188" t="str">
        <f>IFERROR(VLOOKUP(VLOOKUP($H$9,tblHotelCategories[],2,FALSE)&amp;", "&amp;AI8&amp;" / "&amp;AI7,tblAccommodationCosts[],5,FALSE),"No Cat!")</f>
        <v>No Cat!</v>
      </c>
      <c r="AJ9" s="189" t="str">
        <f>IFERROR(VLOOKUP(VLOOKUP($H$9,tblHotelCategories[],2,FALSE)&amp;", "&amp;AJ8&amp;" / "&amp;AJ7,tblAccommodationCosts[],5,FALSE),"No Cat!")</f>
        <v>No Cat!</v>
      </c>
      <c r="AK9" s="190" t="str">
        <f>IFERROR(VLOOKUP(VLOOKUP($H$9,tblHotelCategories[],2,FALSE)&amp;", "&amp;AK8&amp;" / "&amp;AK7,tblAccommodationCosts[],5,FALSE),"No Cat!")</f>
        <v>No Cat!</v>
      </c>
      <c r="AL9" s="188" t="str">
        <f>IFERROR(VLOOKUP(VLOOKUP($H$9,tblHotelCategories[],2,FALSE)&amp;", "&amp;AL8&amp;" / "&amp;AL7,tblAccommodationCosts[],5,FALSE),"No Cat!")</f>
        <v>No Cat!</v>
      </c>
      <c r="AM9" s="189" t="str">
        <f>IFERROR(VLOOKUP(VLOOKUP($H$9,tblHotelCategories[],2,FALSE)&amp;", "&amp;AM8&amp;" / "&amp;AM7,tblAccommodationCosts[],5,FALSE),"No Cat!")</f>
        <v>No Cat!</v>
      </c>
      <c r="AN9" s="190" t="str">
        <f>IFERROR(VLOOKUP(VLOOKUP($H$9,tblHotelCategories[],2,FALSE)&amp;", "&amp;AN8&amp;" / "&amp;AN7,tblAccommodationCosts[],5,FALSE),"No Cat!")</f>
        <v>No Cat!</v>
      </c>
      <c r="AY9" s="62"/>
      <c r="AZ9" s="62"/>
      <c r="BA9" s="68"/>
      <c r="BB9" s="68"/>
      <c r="BC9" s="68"/>
      <c r="BD9" s="68"/>
      <c r="BE9" s="68"/>
      <c r="BH9"/>
      <c r="BI9" s="2" t="str">
        <f>Parameters!$C$3</f>
        <v>Coaches and Officials</v>
      </c>
      <c r="BJ9"/>
      <c r="BK9" s="2" t="str">
        <f>Parameters!$C$3</f>
        <v>Coaches and Officials</v>
      </c>
      <c r="BL9"/>
      <c r="BM9" s="2" t="s">
        <v>6</v>
      </c>
      <c r="BO9" s="2" t="str">
        <f>BM9</f>
        <v>Women</v>
      </c>
      <c r="BQ9" s="2" t="s">
        <v>5</v>
      </c>
      <c r="BS9" s="2" t="str">
        <f>BQ9</f>
        <v>Men</v>
      </c>
      <c r="BU9" s="2" t="s">
        <v>76</v>
      </c>
      <c r="BW9" s="2" t="s">
        <v>76</v>
      </c>
      <c r="BY9" s="2" t="s">
        <v>71</v>
      </c>
      <c r="CA9" s="2" t="s">
        <v>71</v>
      </c>
      <c r="CC9" s="2" t="s">
        <v>73</v>
      </c>
      <c r="CE9" s="2" t="s">
        <v>73</v>
      </c>
      <c r="CG9" s="2" t="s">
        <v>258</v>
      </c>
    </row>
    <row r="10" spans="1:85" ht="16.5" thickBot="1">
      <c r="S10" s="24"/>
      <c r="X10"/>
      <c r="Y10" s="24"/>
      <c r="AE10"/>
      <c r="AF10" s="326"/>
      <c r="AG10" s="326"/>
      <c r="AH10" s="326"/>
      <c r="AI10" s="326"/>
      <c r="AJ10" s="326"/>
      <c r="AK10" s="326"/>
      <c r="AL10" s="326"/>
      <c r="AM10" s="326"/>
      <c r="AN10" s="326"/>
      <c r="AY10" s="62"/>
      <c r="AZ10" s="62"/>
      <c r="BA10" s="68"/>
      <c r="BB10" s="68"/>
      <c r="BC10" s="68"/>
      <c r="BD10" s="68"/>
      <c r="BE10" s="68"/>
      <c r="BF10" s="456" t="str">
        <f>IFERROR("Total ("&amp;VLOOKUP(SelectedCategory,tblHotelCategories[],2,0)&amp;")","Please select category, first!")</f>
        <v>Please select category, first!</v>
      </c>
      <c r="BG10" s="457"/>
      <c r="BH10"/>
      <c r="BI10" s="2" t="str">
        <f>Parameters!$C$7</f>
        <v>Referee</v>
      </c>
      <c r="BJ10"/>
      <c r="BK10" s="2" t="str">
        <f>Parameters!$C$7</f>
        <v>Referee</v>
      </c>
      <c r="BL10"/>
    </row>
    <row r="11" spans="1:85" ht="16.5" thickBot="1">
      <c r="A11" s="9"/>
      <c r="B11" s="9"/>
      <c r="C11" s="9"/>
      <c r="D11" s="9"/>
      <c r="E11" s="359"/>
      <c r="F11" s="486" t="s">
        <v>77</v>
      </c>
      <c r="G11" s="487"/>
      <c r="H11" s="487"/>
      <c r="I11" s="487"/>
      <c r="J11" s="487"/>
      <c r="K11" s="488"/>
      <c r="L11" s="497" t="s">
        <v>76</v>
      </c>
      <c r="M11" s="484" t="s">
        <v>284</v>
      </c>
      <c r="N11" s="484"/>
      <c r="O11" s="484"/>
      <c r="P11" s="484"/>
      <c r="Q11" s="485"/>
      <c r="R11" s="489" t="s">
        <v>71</v>
      </c>
      <c r="S11" s="490"/>
      <c r="T11" s="490"/>
      <c r="U11" s="490"/>
      <c r="V11" s="490"/>
      <c r="W11" s="491"/>
      <c r="X11" s="492" t="s">
        <v>73</v>
      </c>
      <c r="Y11" s="493"/>
      <c r="Z11" s="493"/>
      <c r="AA11" s="493"/>
      <c r="AB11" s="493"/>
      <c r="AC11" s="494"/>
      <c r="AD11" s="482" t="s">
        <v>141</v>
      </c>
      <c r="AE11" s="483"/>
      <c r="AF11" s="479" t="s">
        <v>75</v>
      </c>
      <c r="AG11" s="480"/>
      <c r="AH11" s="480"/>
      <c r="AI11" s="480"/>
      <c r="AJ11" s="480"/>
      <c r="AK11" s="480"/>
      <c r="AL11" s="480"/>
      <c r="AM11" s="480"/>
      <c r="AN11" s="481"/>
      <c r="AO11" s="495" t="s">
        <v>99</v>
      </c>
      <c r="AP11" s="403"/>
      <c r="AQ11" s="403"/>
      <c r="AR11" s="495" t="s">
        <v>299</v>
      </c>
      <c r="AS11" s="407" t="s">
        <v>137</v>
      </c>
      <c r="AT11" s="79"/>
      <c r="AU11" s="79"/>
      <c r="AV11" s="79"/>
      <c r="AW11" s="79"/>
      <c r="AX11" s="79"/>
      <c r="AY11" s="80"/>
      <c r="AZ11" s="81"/>
      <c r="BA11" s="69"/>
      <c r="BB11" s="69"/>
      <c r="BC11" s="69"/>
      <c r="BD11" s="69"/>
      <c r="BE11" s="69"/>
      <c r="BF11" s="414" t="str">
        <f>"until " &amp; TEXT(StartDate - 18,"MMM [$-809]TT;@")</f>
        <v>until May 11</v>
      </c>
      <c r="BG11" s="415" t="str">
        <f>"after " &amp; TEXT(StartDate - 18,"MMM [$-809]TT;@")</f>
        <v>after May 11</v>
      </c>
      <c r="BH11"/>
      <c r="BI11">
        <f>COUNTIFS(tblData[Type],"="&amp;$BI$10,tblData[Surname],"=*")+COUNTIFS(tblData[Type],"="&amp;$BI$9,tblData[Surname],"=*")</f>
        <v>0</v>
      </c>
      <c r="BJ11"/>
      <c r="BK11">
        <f>COUNTIFS(tblData[Type],"="&amp;$BK$10,tblData[Surname],"=*")+COUNTIFS(tblData[Type],"="&amp;$BK$9,tblData[Surname],"=*")</f>
        <v>0</v>
      </c>
      <c r="BL11"/>
      <c r="BM11">
        <f>COUNTIFS(tblData[Type],"="&amp;$BM$9,tblData[Surname],"=*")</f>
        <v>0</v>
      </c>
      <c r="BO11">
        <f>COUNTIFS(tblData[Type],"="&amp;$BO$9,tblData[Surname],"=*")</f>
        <v>0</v>
      </c>
      <c r="BQ11">
        <f>COUNTIFS(tblData[Type],"="&amp;$BQ$9,tblData[Surname],"=*")</f>
        <v>0</v>
      </c>
      <c r="BS11">
        <f>COUNTIFS(tblData[Type],"="&amp;$BS$9,tblData[Surname],"=*")</f>
        <v>0</v>
      </c>
      <c r="BU11">
        <f>COUNTIFS(tblData[Visa required],"=YES",tblData[Surname],"=*")</f>
        <v>0</v>
      </c>
      <c r="BW11">
        <f>COUNTIFS(tblData[Visa required],"=YES",tblData[Surname],"=*")</f>
        <v>0</v>
      </c>
      <c r="BY11">
        <f>COUNTIFS(tblData[Arr DateTime],"&gt;0",tblData[Surname],"=*")</f>
        <v>0</v>
      </c>
      <c r="CA11">
        <f>COUNTIFS(tblData[Arr DateTime],"&gt;0",tblData[Surname],"=*")</f>
        <v>0</v>
      </c>
      <c r="CC11">
        <f>COUNTIFS(tblData[Dep DateTime],"&gt;0",tblData[Surname],"=*")</f>
        <v>0</v>
      </c>
      <c r="CE11">
        <f>COUNTIFS(tblData[Dep DateTime],"&gt;0",tblData[Surname],"=*")</f>
        <v>0</v>
      </c>
      <c r="CG11">
        <f>COUNTIFS(tblData[Surname],"=*")</f>
        <v>0</v>
      </c>
    </row>
    <row r="12" spans="1:85" ht="48" thickBot="1">
      <c r="A12" s="20" t="s">
        <v>107</v>
      </c>
      <c r="B12" s="20"/>
      <c r="C12" s="20"/>
      <c r="D12" s="20"/>
      <c r="E12" s="360" t="s">
        <v>88</v>
      </c>
      <c r="F12" s="364" t="s">
        <v>281</v>
      </c>
      <c r="G12" s="349" t="s">
        <v>282</v>
      </c>
      <c r="H12" s="350" t="s">
        <v>131</v>
      </c>
      <c r="I12" s="350" t="s">
        <v>63</v>
      </c>
      <c r="J12" s="349" t="s">
        <v>69</v>
      </c>
      <c r="K12" s="365" t="s">
        <v>70</v>
      </c>
      <c r="L12" s="498"/>
      <c r="M12" s="351" t="s">
        <v>64</v>
      </c>
      <c r="N12" s="351" t="s">
        <v>65</v>
      </c>
      <c r="O12" s="352" t="s">
        <v>66</v>
      </c>
      <c r="P12" s="352" t="s">
        <v>67</v>
      </c>
      <c r="Q12" s="372" t="s">
        <v>68</v>
      </c>
      <c r="R12" s="379" t="s">
        <v>106</v>
      </c>
      <c r="S12" s="353" t="s">
        <v>132</v>
      </c>
      <c r="T12" s="354" t="s">
        <v>133</v>
      </c>
      <c r="U12" s="354" t="s">
        <v>134</v>
      </c>
      <c r="V12" s="353" t="s">
        <v>72</v>
      </c>
      <c r="W12" s="380" t="s">
        <v>135</v>
      </c>
      <c r="X12" s="387" t="s">
        <v>106</v>
      </c>
      <c r="Y12" s="355" t="s">
        <v>132</v>
      </c>
      <c r="Z12" s="356" t="s">
        <v>133</v>
      </c>
      <c r="AA12" s="356" t="s">
        <v>134</v>
      </c>
      <c r="AB12" s="357" t="s">
        <v>74</v>
      </c>
      <c r="AC12" s="388" t="s">
        <v>135</v>
      </c>
      <c r="AD12" s="391" t="s">
        <v>243</v>
      </c>
      <c r="AE12" s="392" t="s">
        <v>244</v>
      </c>
      <c r="AF12" s="395">
        <f>StartDate</f>
        <v>43249</v>
      </c>
      <c r="AG12" s="358">
        <f>AF12+1</f>
        <v>43250</v>
      </c>
      <c r="AH12" s="358">
        <f t="shared" ref="AH12:AM12" si="0">AG12+1</f>
        <v>43251</v>
      </c>
      <c r="AI12" s="358">
        <f t="shared" si="0"/>
        <v>43252</v>
      </c>
      <c r="AJ12" s="358">
        <f t="shared" si="0"/>
        <v>43253</v>
      </c>
      <c r="AK12" s="358">
        <f t="shared" si="0"/>
        <v>43254</v>
      </c>
      <c r="AL12" s="358">
        <f t="shared" si="0"/>
        <v>43255</v>
      </c>
      <c r="AM12" s="358">
        <f t="shared" si="0"/>
        <v>43256</v>
      </c>
      <c r="AN12" s="396">
        <f>AM12+1</f>
        <v>43257</v>
      </c>
      <c r="AO12" s="496"/>
      <c r="AP12" s="404" t="s">
        <v>301</v>
      </c>
      <c r="AQ12" s="404" t="s">
        <v>302</v>
      </c>
      <c r="AR12" s="496"/>
      <c r="AS12" s="408" t="str">
        <f>IFERROR(VLOOKUP(SelectedCategory,tblHotelCategories[],2,0),"Please select category, first!")</f>
        <v>Please select category, first!</v>
      </c>
      <c r="AT12" s="321" t="s">
        <v>7</v>
      </c>
      <c r="AU12" s="21" t="s">
        <v>8</v>
      </c>
      <c r="AV12" s="21" t="s">
        <v>161</v>
      </c>
      <c r="AW12" s="21" t="s">
        <v>62</v>
      </c>
      <c r="AX12" s="21" t="s">
        <v>114</v>
      </c>
      <c r="AY12" s="22" t="s">
        <v>235</v>
      </c>
      <c r="AZ12" s="23" t="s">
        <v>234</v>
      </c>
      <c r="BA12" s="70"/>
      <c r="BB12" s="70"/>
      <c r="BC12" s="70"/>
      <c r="BD12" s="70"/>
      <c r="BE12" s="70"/>
      <c r="BF12" s="412" t="e">
        <f>$AZ$125</f>
        <v>#VALUE!</v>
      </c>
      <c r="BG12" s="413" t="e">
        <f>$AZ$126</f>
        <v>#VALUE!</v>
      </c>
      <c r="BH12" s="29"/>
      <c r="BI12" s="5" t="s">
        <v>107</v>
      </c>
      <c r="BJ12" s="5"/>
      <c r="BK12" s="5" t="s">
        <v>107</v>
      </c>
      <c r="BL12" s="5"/>
      <c r="BM12" s="5" t="s">
        <v>107</v>
      </c>
      <c r="BN12" s="5"/>
      <c r="BO12" s="5" t="s">
        <v>107</v>
      </c>
      <c r="BP12" s="5"/>
      <c r="BQ12" s="5" t="s">
        <v>107</v>
      </c>
      <c r="BR12" s="5"/>
      <c r="BS12" s="5" t="s">
        <v>107</v>
      </c>
      <c r="BU12" s="5" t="s">
        <v>107</v>
      </c>
      <c r="BW12" t="s">
        <v>107</v>
      </c>
      <c r="BY12" t="s">
        <v>107</v>
      </c>
      <c r="CA12" t="s">
        <v>107</v>
      </c>
      <c r="CC12" t="s">
        <v>107</v>
      </c>
      <c r="CE12" t="s">
        <v>107</v>
      </c>
      <c r="CG12" t="s">
        <v>107</v>
      </c>
    </row>
    <row r="13" spans="1:85" s="5" customFormat="1" ht="33.950000000000003" hidden="1" customHeight="1" thickBot="1">
      <c r="A13" s="10" t="s">
        <v>107</v>
      </c>
      <c r="B13" s="10" t="s">
        <v>233</v>
      </c>
      <c r="C13" s="10" t="s">
        <v>239</v>
      </c>
      <c r="D13" s="10" t="s">
        <v>240</v>
      </c>
      <c r="E13" s="361" t="s">
        <v>88</v>
      </c>
      <c r="F13" s="366" t="s">
        <v>59</v>
      </c>
      <c r="G13" s="340" t="s">
        <v>60</v>
      </c>
      <c r="H13" s="341" t="s">
        <v>131</v>
      </c>
      <c r="I13" s="341" t="s">
        <v>63</v>
      </c>
      <c r="J13" s="340" t="s">
        <v>69</v>
      </c>
      <c r="K13" s="367" t="s">
        <v>70</v>
      </c>
      <c r="L13" s="373" t="s">
        <v>76</v>
      </c>
      <c r="M13" s="342" t="s">
        <v>64</v>
      </c>
      <c r="N13" s="342" t="s">
        <v>65</v>
      </c>
      <c r="O13" s="343" t="s">
        <v>66</v>
      </c>
      <c r="P13" s="343" t="s">
        <v>67</v>
      </c>
      <c r="Q13" s="374" t="s">
        <v>68</v>
      </c>
      <c r="R13" s="381" t="s">
        <v>90</v>
      </c>
      <c r="S13" s="344" t="s">
        <v>91</v>
      </c>
      <c r="T13" s="345" t="s">
        <v>92</v>
      </c>
      <c r="U13" s="345" t="s">
        <v>93</v>
      </c>
      <c r="V13" s="344" t="s">
        <v>72</v>
      </c>
      <c r="W13" s="382" t="s">
        <v>94</v>
      </c>
      <c r="X13" s="389" t="s">
        <v>89</v>
      </c>
      <c r="Y13" s="346" t="s">
        <v>95</v>
      </c>
      <c r="Z13" s="347" t="s">
        <v>96</v>
      </c>
      <c r="AA13" s="347" t="s">
        <v>97</v>
      </c>
      <c r="AB13" s="348" t="s">
        <v>74</v>
      </c>
      <c r="AC13" s="390" t="s">
        <v>98</v>
      </c>
      <c r="AD13" s="393" t="s">
        <v>241</v>
      </c>
      <c r="AE13" s="394" t="s">
        <v>242</v>
      </c>
      <c r="AF13" s="418" t="s">
        <v>288</v>
      </c>
      <c r="AG13" s="419" t="s">
        <v>289</v>
      </c>
      <c r="AH13" s="419" t="s">
        <v>290</v>
      </c>
      <c r="AI13" s="419" t="s">
        <v>291</v>
      </c>
      <c r="AJ13" s="419" t="s">
        <v>292</v>
      </c>
      <c r="AK13" s="419" t="s">
        <v>293</v>
      </c>
      <c r="AL13" s="419" t="s">
        <v>294</v>
      </c>
      <c r="AM13" s="419" t="s">
        <v>295</v>
      </c>
      <c r="AN13" s="420" t="s">
        <v>296</v>
      </c>
      <c r="AO13" s="401" t="s">
        <v>99</v>
      </c>
      <c r="AP13" s="405" t="s">
        <v>100</v>
      </c>
      <c r="AQ13" s="405" t="s">
        <v>298</v>
      </c>
      <c r="AR13" s="405" t="s">
        <v>297</v>
      </c>
      <c r="AS13" s="409" t="s">
        <v>136</v>
      </c>
      <c r="AT13" s="322" t="s">
        <v>7</v>
      </c>
      <c r="AU13" s="7" t="s">
        <v>8</v>
      </c>
      <c r="AV13" s="7" t="s">
        <v>9</v>
      </c>
      <c r="AW13" s="7" t="s">
        <v>62</v>
      </c>
      <c r="AX13" s="7" t="s">
        <v>114</v>
      </c>
      <c r="AY13" s="8" t="s">
        <v>235</v>
      </c>
      <c r="AZ13" s="11" t="s">
        <v>234</v>
      </c>
      <c r="BA13" s="71" t="s">
        <v>231</v>
      </c>
      <c r="BB13" s="71" t="s">
        <v>232</v>
      </c>
      <c r="BC13" s="67" t="s">
        <v>236</v>
      </c>
      <c r="BD13" s="67" t="s">
        <v>237</v>
      </c>
      <c r="BE13" s="67" t="s">
        <v>238</v>
      </c>
      <c r="BI13" s="5" t="s">
        <v>107</v>
      </c>
      <c r="BK13" s="5" t="s">
        <v>107</v>
      </c>
      <c r="BM13" s="5" t="s">
        <v>107</v>
      </c>
      <c r="BO13" s="5" t="s">
        <v>107</v>
      </c>
      <c r="BQ13" s="5" t="s">
        <v>107</v>
      </c>
      <c r="BS13" s="5" t="s">
        <v>107</v>
      </c>
      <c r="BU13" s="5" t="s">
        <v>107</v>
      </c>
      <c r="BW13" s="64" t="s">
        <v>107</v>
      </c>
      <c r="BY13" s="64" t="s">
        <v>107</v>
      </c>
      <c r="CA13" s="5" t="s">
        <v>107</v>
      </c>
      <c r="CC13" s="64" t="s">
        <v>107</v>
      </c>
      <c r="CE13" s="64" t="s">
        <v>107</v>
      </c>
      <c r="CG13" s="64" t="s">
        <v>107</v>
      </c>
    </row>
    <row r="14" spans="1:85" s="6" customFormat="1">
      <c r="A14" s="13">
        <f>IF(ISNUMBER(tblData[[#This Row],[SubType2]]),tblData[[#This Row],[SubType2]]*10000+tblData[[#This Row],[No]],1000000+tblData[[#This Row],[No]])</f>
        <v>1000001</v>
      </c>
      <c r="B14" s="13">
        <f>IFERROR(tblData[[#This Row],[Surname Rang]]*1000+tblData[[#This Row],[Given Name Rang]]+tblData[[#This Row],[No]]/1000,"")</f>
        <v>1E-3</v>
      </c>
      <c r="C14" s="13">
        <f>IFERROR(tblData[[#This Row],[Arr DateTime Rang]]+tblData[[#This Row],[No]]/1000,"")</f>
        <v>110.001</v>
      </c>
      <c r="D14" s="13">
        <f>IFERROR(tblData[[#This Row],[Dep DateTime Rang]]+tblData[[#This Row],[No]]/1000,"")</f>
        <v>110.001</v>
      </c>
      <c r="E14" s="362">
        <v>1</v>
      </c>
      <c r="F14" s="368"/>
      <c r="G14" s="327"/>
      <c r="H14" s="328"/>
      <c r="I14" s="329"/>
      <c r="J14" s="431"/>
      <c r="K14" s="369"/>
      <c r="L14" s="375"/>
      <c r="M14" s="331"/>
      <c r="N14" s="331"/>
      <c r="O14" s="331"/>
      <c r="P14" s="329"/>
      <c r="Q14" s="376"/>
      <c r="R14" s="383"/>
      <c r="S14" s="332"/>
      <c r="T14" s="331"/>
      <c r="U14" s="333"/>
      <c r="V14" s="333"/>
      <c r="W14" s="384"/>
      <c r="X14" s="383"/>
      <c r="Y14" s="332"/>
      <c r="Z14" s="331"/>
      <c r="AA14" s="331"/>
      <c r="AB14" s="333"/>
      <c r="AC14" s="384"/>
      <c r="AD14" s="375"/>
      <c r="AE14" s="369"/>
      <c r="AF14" s="397"/>
      <c r="AG14" s="328"/>
      <c r="AH14" s="328"/>
      <c r="AI14" s="328"/>
      <c r="AJ14" s="328"/>
      <c r="AK14" s="328"/>
      <c r="AL14" s="328"/>
      <c r="AM14" s="328"/>
      <c r="AN14" s="398"/>
      <c r="AO14" s="402" t="str">
        <f>IF(ISBLANK(tblData[[#This Row],[Surname]]),"",IF(tblData[[#This Row],[Bill Accred Fee]]=0,"NO","YES"))</f>
        <v/>
      </c>
      <c r="AP14" s="406">
        <f>IF(AND(NOT(ISBLANK(tblData[[#This Row],[Surname]])),COUNTA(tblData[[#This Row],[Day 1]:[Day 9]])=0),1,0)</f>
        <v>0</v>
      </c>
      <c r="AQ14" s="406">
        <f>IF(AND(NOT(ISBLANK(tblData[[#This Row],[Surname]])),tblData[[#This Row],[Position]]="Athlete"),1,0)</f>
        <v>0</v>
      </c>
      <c r="AR14" s="433">
        <f>EntryFee*tblData[[#This Row],[Entry Fee Billable]]</f>
        <v>0</v>
      </c>
      <c r="AS14" s="410" t="e">
        <f>IF(ISBLANK(SelectedCategory),"No Cat!",IF(ISBLANK($F14),0,IFERROR(VLOOKUP(AS$12&amp;", "&amp;tblData[[#This Row],[Day 1]],tblAccommodationCosts[],5,FALSE),0)+IFERROR(VLOOKUP(AS$12&amp;", "&amp;tblData[[#This Row],[Day 2]],tblAccommodationCosts[],5,FALSE),0)+IFERROR(VLOOKUP(AS$12&amp;", "&amp;tblData[[#This Row],[Day 3]],tblAccommodationCosts[],5,FALSE),0)+IFERROR(VLOOKUP(AS$12&amp;", "&amp;tblData[[#This Row],[Day 4]],tblAccommodationCosts[],5,FALSE),0)+IFERROR(VLOOKUP(AS$12&amp;", "&amp;tblData[[#This Row],[Day 5]],tblAccommodationCosts[],5,FALSE),0)+IFERROR(VLOOKUP(AS$12&amp;", "&amp;tblData[[#This Row],[Day 6]],tblAccommodationCosts[],5,FALSE),0)+IFERROR(VLOOKUP(AS$12&amp;", "&amp;tblData[[#This Row],[Day 7]],tblAccommodationCosts[],5,FALSE),0)+IFERROR(VLOOKUP(AS$12&amp;", "&amp;tblData[[#This Row],[Day 8]],tblAccommodationCosts[],5,FALSE),0)+IFERROR(VLOOKUP(AS$12&amp;", "&amp;tblData[[#This Row],[Day 9]],tblAccommodationCosts[],5,FALSE),0)+AccreditationFee*tblData[[#This Row],[Bill Accred Fee]]))+tblData[[#This Row],[Entry Fee]]</f>
        <v>#VALUE!</v>
      </c>
      <c r="AT14" s="323" t="str">
        <f>IFERROR(VLOOKUP(tblData[[#This Row],[Weight Category, Function, and Gender]],tblWeightOrFunction[],3,0),"")</f>
        <v/>
      </c>
      <c r="AU14" s="82" t="str">
        <f>IFERROR(VLOOKUP(tblData[[#This Row],[Weight Category, Function, and Gender]],tblWeightOrFunction[],4,0),"")</f>
        <v/>
      </c>
      <c r="AV14" s="83" t="str">
        <f>IFERROR(VLOOKUP(tblData[[#This Row],[Weight Category, Function, and Gender]],tblWeightOrFunction[],7,0),"")</f>
        <v/>
      </c>
      <c r="AW14" s="82" t="str">
        <f>IFERROR(VLOOKUP(tblData[[#This Row],[Weight Category, Function, and Gender]],tblWeightOrFunction[],6,0),"")</f>
        <v/>
      </c>
      <c r="AX14" s="82" t="str">
        <f>IFERROR(VLOOKUP(tblData[[#This Row],[Weight Category, Function, and Gender]],tblWeightOrFunction[],2,0),"")</f>
        <v/>
      </c>
      <c r="AY14" s="74">
        <f>tblData[[#This Row],[Arr Date]]+tblData[[#This Row],[Arr Time]]</f>
        <v>0</v>
      </c>
      <c r="AZ14" s="74">
        <f>tblData[[#This Row],[Dep Date]]+tblData[[#This Row],[Dep Time]]</f>
        <v>0</v>
      </c>
      <c r="BA14" s="72">
        <f>COUNTIF(tblData[Surname],"&lt;="&amp;tblData[Surname])</f>
        <v>0</v>
      </c>
      <c r="BB14" s="72">
        <f>COUNTIF(tblData[Given name],"&lt;="&amp;tblData[Given name])</f>
        <v>0</v>
      </c>
      <c r="BC14" s="72">
        <f>COUNTIF(tblData[Arr DateTime],"&lt;="&amp;tblData[Arr DateTime])</f>
        <v>110</v>
      </c>
      <c r="BD14" s="72">
        <f>COUNTIF(tblData[Dep DateTime],"&lt;="&amp;tblData[Dep DateTime])</f>
        <v>110</v>
      </c>
      <c r="BE14" s="72">
        <f>COUNTIF(tblData[ShuttleAtDeparture],"&lt;="&amp;tblData[ShuttleAtDeparture])</f>
        <v>0</v>
      </c>
      <c r="BI14" s="6" t="str">
        <f t="array" ref="BI14">IF(ROWS(tblData[[#Headers],[Id]]:tblData[[#This Row],[Id]])-1&gt;$BI$11,"",INDEX(tblData[Id],SMALL(IF(LEN(TRIM(tblData[Surname]))*((tblData[Type]=$BI$9)+(tblData[Type]=$BI$10)),ROW(tblData[Id])-ROW(tblData[[#Headers],[Id]])),ROWS(tblData[[#Headers],[Id]]:tblData[[#This Row],[Id]])-1)))</f>
        <v/>
      </c>
      <c r="BK14" s="6" t="str">
        <f>IF(ROWS(tblCoachesAndOfficialsSorted[[#Headers],[Id]]:tblCoachesAndOfficialsSorted[[#This Row],[Id]])-1&gt;$BK$11,"",SMALL(tblCoachesAndOfficials[Id],ROWS(tblCoachesAndOfficialsSorted[[#Headers],[Id]]:tblCoachesAndOfficialsSorted[[#This Row],[Id]])-1))</f>
        <v/>
      </c>
      <c r="BM14" s="6" t="str">
        <f t="array" ref="BM14">IF(ROWS(tblData[[#Headers],[Id]]:tblData[[#This Row],[Id]])-1&gt;$BM$11,"",INDEX(tblData[Id],SMALL(IF(LEN(TRIM(tblData[Surname]))*(tblData[Type]=$BM$9),ROW(tblData[Id])-ROW(tblData[[#Headers],[Id]])),ROWS(tblData[[#Headers],[Id]]:tblData[[#This Row],[Id]])-1)))</f>
        <v/>
      </c>
      <c r="BO14" s="6" t="str">
        <f>IF(ROWS(tblWomenSorted[[#Headers],[Id]]:tblWomenSorted[[#This Row],[Id]])-1&gt;$BO$11,"",SMALL(tblWomen[Id],ROWS(tblWomenSorted[[#Headers],[Id]]:tblWomenSorted[[#This Row],[Id]])-1))</f>
        <v/>
      </c>
      <c r="BP14" s="17"/>
      <c r="BQ14" s="6" t="str">
        <f t="array" ref="BQ14">IF(ROWS(tblData[[#Headers],[Id]]:tblData[[#This Row],[Id]])-1&gt;$BQ$11,"",INDEX(tblData[Id],SMALL(IF(LEN(TRIM(tblData[Surname]))*(tblData[Type]=$BQ$9),ROW(tblData[Id])-ROW(tblData[[#Headers],[Id]])),ROWS(tblData[[#Headers],[Id]]:tblData[[#This Row],[Id]])-1)))</f>
        <v/>
      </c>
      <c r="BS14" s="6" t="str">
        <f>IF(ROWS(tblMenSorted[[#Headers],[Id]]:tblMenSorted[[#This Row],[Id]])-1&gt;$BS$11,"",SMALL(tblMen[Id],ROWS(tblMenSorted[[#Headers],[Id]]:tblMenSorted[[#This Row],[Id]])-1))</f>
        <v/>
      </c>
      <c r="BU14" s="6" t="str">
        <f t="array" ref="BU14">IF(ROWS(tblData[[#Headers],[Sorted Name Id]]:tblData[[#This Row],[Sorted Name Id]])-1&gt;$BU$11,"",INDEX(tblData[Sorted Name Id],SMALL(IF(LEN(TRIM(tblData[Surname]))*(tblData[Visa required]="YES"),ROW(tblData[Sorted Name Id])-ROW(tblData[[#Headers],[Sorted Name Id]])),ROWS(tblData[[#Headers],[Sorted Name Id]]:tblData[[#This Row],[Sorted Name Id]])-1)))</f>
        <v/>
      </c>
      <c r="BW14" s="6" t="str">
        <f>IF(ROWS(tblVisasSorted[[#Headers],[Id]]:tblVisasSorted[[#This Row],[Id]])-1&gt;$BW$11,"",SMALL(tblVisas[Id],ROWS(tblVisasSorted[[#Headers],[Id]]:tblVisasSorted[[#This Row],[Id]])-1))</f>
        <v/>
      </c>
      <c r="BY14" s="65" t="str">
        <f t="array" ref="BY14">IF(ROWS(tblData[[#Headers],[Sorted Arr Id]]:tblData[[#This Row],[Sorted Arr Id]])-1&gt;$BY$11,"",INDEX(tblData[Sorted Arr Id],SMALL(IF(LEN(TRIM(tblData[Surname]))*(tblData[Arr DateTime]&gt;0),ROW(tblData[Sorted Arr Id])-ROW(tblData[[#Headers],[Sorted Arr Id]])),ROWS(tblData[[#Headers],[Sorted Arr Id]]:tblData[[#This Row],[Sorted Arr Id]])-1)))</f>
        <v/>
      </c>
      <c r="CA14" s="6" t="str">
        <f>IF(ROWS(tblArrivalSorted[[#Headers],[Id]]:tblArrivalSorted[[#This Row],[Id]])-1&gt;$CA$11,"",SMALL(tblArrival[Id],ROWS(tblArrivalSorted[[#Headers],[Id]]:tblArrivalSorted[[#This Row],[Id]])-1))</f>
        <v/>
      </c>
      <c r="CC14" s="65" t="str">
        <f t="array" ref="CC14">IF(ROWS(tblData[[#Headers],[Sorted Dep Id]]:tblData[[#This Row],[Sorted Dep Id]])-1&gt;$CC$11,"",INDEX(tblData[Sorted Dep Id],SMALL(IF(LEN(TRIM(tblData[Surname]))*(tblData[Dep DateTime]&gt;0),ROW(tblData[Sorted Dep Id])-ROW(tblData[[#Headers],[Sorted Dep Id]])),ROWS(tblData[[#Headers],[Sorted Dep Id]]:tblData[[#This Row],[Sorted Dep Id]])-1)))</f>
        <v/>
      </c>
      <c r="CE14" s="65" t="str">
        <f>IF(ROWS(tblDepartureSorted[[#Headers],[Id]]:tblDepartureSorted[[#This Row],[Id]])-1&gt;$CE$11,"",SMALL(tblDeparture[Id],ROWS(tblDepartureSorted[[#Headers],[Id]]:tblDepartureSorted[[#This Row],[Id]])-1))</f>
        <v/>
      </c>
      <c r="CG14" s="65" t="str">
        <f t="array" ref="CG14">IF(ROWS(tblData[[#Headers],[Id]]:tblData[[#This Row],[Id]])-1&gt;$CG$11,"",INDEX(tblData[Id],SMALL(IF(LEN(TRIM(tblData[Surname])),ROW(tblData[Id])-ROW(tblData[[#Headers],[Id]])),ROWS(tblData[[#Headers],[Id]]:tblData[[#This Row],[Id]])-1)))</f>
        <v/>
      </c>
    </row>
    <row r="15" spans="1:85" s="6" customFormat="1">
      <c r="A15" s="14">
        <f>IF(ISNUMBER(tblData[[#This Row],[SubType2]]),tblData[[#This Row],[SubType2]]*10000+tblData[[#This Row],[No]],1000000+tblData[[#This Row],[No]])</f>
        <v>1000002</v>
      </c>
      <c r="B15" s="14">
        <f>IFERROR(tblData[[#This Row],[Surname Rang]]*1000+tblData[[#This Row],[Given Name Rang]]+tblData[[#This Row],[No]]/1000,"")</f>
        <v>2E-3</v>
      </c>
      <c r="C15" s="14">
        <f>IFERROR(tblData[[#This Row],[Arr DateTime Rang]]+tblData[[#This Row],[No]]/1000,"")</f>
        <v>110.002</v>
      </c>
      <c r="D15" s="14">
        <f>IFERROR(tblData[[#This Row],[Dep DateTime Rang]]+tblData[[#This Row],[No]]/1000,"")</f>
        <v>110.002</v>
      </c>
      <c r="E15" s="362">
        <f t="shared" ref="E15:E106" si="1">E14+1</f>
        <v>2</v>
      </c>
      <c r="F15" s="368"/>
      <c r="G15" s="327"/>
      <c r="H15" s="328"/>
      <c r="I15" s="329"/>
      <c r="J15" s="330"/>
      <c r="K15" s="369"/>
      <c r="L15" s="375"/>
      <c r="M15" s="331"/>
      <c r="N15" s="331"/>
      <c r="O15" s="331"/>
      <c r="P15" s="329"/>
      <c r="Q15" s="376"/>
      <c r="R15" s="383"/>
      <c r="S15" s="332"/>
      <c r="T15" s="331"/>
      <c r="U15" s="333"/>
      <c r="V15" s="333"/>
      <c r="W15" s="384"/>
      <c r="X15" s="383"/>
      <c r="Y15" s="332"/>
      <c r="Z15" s="331"/>
      <c r="AA15" s="331"/>
      <c r="AB15" s="333"/>
      <c r="AC15" s="384"/>
      <c r="AD15" s="375"/>
      <c r="AE15" s="369"/>
      <c r="AF15" s="397"/>
      <c r="AG15" s="328"/>
      <c r="AH15" s="328"/>
      <c r="AI15" s="328"/>
      <c r="AJ15" s="328"/>
      <c r="AK15" s="328"/>
      <c r="AL15" s="328"/>
      <c r="AM15" s="328"/>
      <c r="AN15" s="398"/>
      <c r="AO15" s="402" t="str">
        <f>IF(ISBLANK(tblData[[#This Row],[Surname]]),"",IF(tblData[[#This Row],[Bill Accred Fee]]=0,"NO","YES"))</f>
        <v/>
      </c>
      <c r="AP15" s="406">
        <f>IF(AND(NOT(ISBLANK(tblData[[#This Row],[Surname]])),COUNTA(tblData[[#This Row],[Day 1]:[Day 9]])=0),1,0)</f>
        <v>0</v>
      </c>
      <c r="AQ15" s="406">
        <f>IF(AND(NOT(ISBLANK(tblData[[#This Row],[Surname]])),tblData[[#This Row],[Position]]="Athlete"),1,0)</f>
        <v>0</v>
      </c>
      <c r="AR15" s="433">
        <f>EntryFee*tblData[[#This Row],[Entry Fee Billable]]</f>
        <v>0</v>
      </c>
      <c r="AS15" s="410" t="e">
        <f>IF(ISBLANK(SelectedCategory),"No Cat!",IF(ISBLANK($F15),0,IFERROR(VLOOKUP(AS$12&amp;", "&amp;tblData[[#This Row],[Day 1]],tblAccommodationCosts[],5,FALSE),0)+IFERROR(VLOOKUP(AS$12&amp;", "&amp;tblData[[#This Row],[Day 2]],tblAccommodationCosts[],5,FALSE),0)+IFERROR(VLOOKUP(AS$12&amp;", "&amp;tblData[[#This Row],[Day 3]],tblAccommodationCosts[],5,FALSE),0)+IFERROR(VLOOKUP(AS$12&amp;", "&amp;tblData[[#This Row],[Day 4]],tblAccommodationCosts[],5,FALSE),0)+IFERROR(VLOOKUP(AS$12&amp;", "&amp;tblData[[#This Row],[Day 5]],tblAccommodationCosts[],5,FALSE),0)+IFERROR(VLOOKUP(AS$12&amp;", "&amp;tblData[[#This Row],[Day 6]],tblAccommodationCosts[],5,FALSE),0)+IFERROR(VLOOKUP(AS$12&amp;", "&amp;tblData[[#This Row],[Day 7]],tblAccommodationCosts[],5,FALSE),0)+IFERROR(VLOOKUP(AS$12&amp;", "&amp;tblData[[#This Row],[Day 8]],tblAccommodationCosts[],5,FALSE),0)+IFERROR(VLOOKUP(AS$12&amp;", "&amp;tblData[[#This Row],[Day 9]],tblAccommodationCosts[],5,FALSE),0)+AccreditationFee*tblData[[#This Row],[Bill Accred Fee]]))+tblData[[#This Row],[Entry Fee]]</f>
        <v>#VALUE!</v>
      </c>
      <c r="AT15" s="324" t="str">
        <f>IFERROR(VLOOKUP(tblData[[#This Row],[Weight Category, Function, and Gender]],tblWeightOrFunction[],3,0),"")</f>
        <v/>
      </c>
      <c r="AU15" s="84" t="str">
        <f>IFERROR(VLOOKUP(tblData[[#This Row],[Weight Category, Function, and Gender]],tblWeightOrFunction[],4,0),"")</f>
        <v/>
      </c>
      <c r="AV15" s="85" t="str">
        <f>IFERROR(VLOOKUP(tblData[[#This Row],[Weight Category, Function, and Gender]],tblWeightOrFunction[],7,0),"")</f>
        <v/>
      </c>
      <c r="AW15" s="84" t="str">
        <f>IFERROR(VLOOKUP(tblData[[#This Row],[Weight Category, Function, and Gender]],tblWeightOrFunction[],6,0),"")</f>
        <v/>
      </c>
      <c r="AX15" s="84" t="str">
        <f>IFERROR(VLOOKUP(tblData[[#This Row],[Weight Category, Function, and Gender]],tblWeightOrFunction[],2,0),"")</f>
        <v/>
      </c>
      <c r="AY15" s="75">
        <f>tblData[[#This Row],[Arr Date]]+tblData[[#This Row],[Arr Time]]</f>
        <v>0</v>
      </c>
      <c r="AZ15" s="75">
        <f>tblData[[#This Row],[Dep Date]]+tblData[[#This Row],[Dep Time]]</f>
        <v>0</v>
      </c>
      <c r="BA15" s="72">
        <f>COUNTIF(tblData[Surname],"&lt;="&amp;tblData[Surname])</f>
        <v>0</v>
      </c>
      <c r="BB15" s="72">
        <f>COUNTIF(tblData[Given name],"&lt;="&amp;tblData[Given name])</f>
        <v>0</v>
      </c>
      <c r="BC15" s="72">
        <f>COUNTIF(tblData[Arr DateTime],"&lt;="&amp;tblData[Arr DateTime])</f>
        <v>110</v>
      </c>
      <c r="BD15" s="72">
        <f>COUNTIF(tblData[Dep DateTime],"&lt;="&amp;tblData[Dep DateTime])</f>
        <v>110</v>
      </c>
      <c r="BE15" s="72">
        <f>COUNTIF(tblData[ShuttleAtDeparture],"&lt;="&amp;tblData[ShuttleAtDeparture])</f>
        <v>0</v>
      </c>
      <c r="BI15" s="6" t="str">
        <f t="array" ref="BI15">IF(ROWS(tblData[[#Headers],[Id]]:tblData[[#This Row],[Id]])-1&gt;$BI$11,"",INDEX(tblData[Id],SMALL(IF(LEN(TRIM(tblData[Surname]))*((tblData[Type]=$BI$9)+(tblData[Type]=$BI$10)),ROW(tblData[Id])-ROW(tblData[[#Headers],[Id]])),ROWS(tblData[[#Headers],[Id]]:tblData[[#This Row],[Id]])-1)))</f>
        <v/>
      </c>
      <c r="BK15" s="6" t="str">
        <f>IF(ROWS(tblCoachesAndOfficialsSorted[[#Headers],[Id]]:tblCoachesAndOfficialsSorted[[#This Row],[Id]])-1&gt;$BK$11,"",SMALL(tblCoachesAndOfficials[Id],ROWS(tblCoachesAndOfficialsSorted[[#Headers],[Id]]:tblCoachesAndOfficialsSorted[[#This Row],[Id]])-1))</f>
        <v/>
      </c>
      <c r="BM15" s="6" t="str">
        <f t="array" ref="BM15">IF(ROWS(tblData[[#Headers],[Id]]:tblData[[#This Row],[Id]])-1&gt;$BM$11,"",INDEX(tblData[Id],SMALL(IF(LEN(TRIM(tblData[Surname]))*(tblData[Type]=$BM$9),ROW(tblData[Id])-ROW(tblData[[#Headers],[Id]])),ROWS(tblData[[#Headers],[Id]]:tblData[[#This Row],[Id]])-1)))</f>
        <v/>
      </c>
      <c r="BO15" s="6" t="str">
        <f>IF(ROWS(tblWomenSorted[[#Headers],[Id]]:tblWomenSorted[[#This Row],[Id]])-1&gt;$BO$11,"",SMALL(tblWomen[Id],ROWS(tblWomenSorted[[#Headers],[Id]]:tblWomenSorted[[#This Row],[Id]])-1))</f>
        <v/>
      </c>
      <c r="BP15" s="17"/>
      <c r="BQ15" s="6" t="str">
        <f t="array" ref="BQ15">IF(ROWS(tblData[[#Headers],[Id]]:tblData[[#This Row],[Id]])-1&gt;$BQ$11,"",INDEX(tblData[Id],SMALL(IF(LEN(TRIM(tblData[Surname]))*(tblData[Type]=$BQ$9),ROW(tblData[Id])-ROW(tblData[[#Headers],[Id]])),ROWS(tblData[[#Headers],[Id]]:tblData[[#This Row],[Id]])-1)))</f>
        <v/>
      </c>
      <c r="BS15" s="6" t="str">
        <f>IF(ROWS(tblMenSorted[[#Headers],[Id]]:tblMenSorted[[#This Row],[Id]])-1&gt;$BS$11,"",SMALL(tblMen[Id],ROWS(tblMenSorted[[#Headers],[Id]]:tblMenSorted[[#This Row],[Id]])-1))</f>
        <v/>
      </c>
      <c r="BU15" s="6" t="str">
        <f t="array" ref="BU15">IF(ROWS(tblData[[#Headers],[Sorted Name Id]]:tblData[[#This Row],[Sorted Name Id]])-1&gt;$BU$11,"",INDEX(tblData[Sorted Name Id],SMALL(IF(LEN(TRIM(tblData[Surname]))*(tblData[Visa required]="YES"),ROW(tblData[Sorted Name Id])-ROW(tblData[[#Headers],[Sorted Name Id]])),ROWS(tblData[[#Headers],[Sorted Name Id]]:tblData[[#This Row],[Sorted Name Id]])-1)))</f>
        <v/>
      </c>
      <c r="BW15" s="6" t="str">
        <f>IF(ROWS(tblVisasSorted[[#Headers],[Id]]:tblVisasSorted[[#This Row],[Id]])-1&gt;$BW$11,"",SMALL(tblVisas[Id],ROWS(tblVisasSorted[[#Headers],[Id]]:tblVisasSorted[[#This Row],[Id]])-1))</f>
        <v/>
      </c>
      <c r="BY15" s="66" t="str">
        <f t="array" ref="BY15">IF(ROWS(tblData[[#Headers],[Sorted Arr Id]]:tblData[[#This Row],[Sorted Arr Id]])-1&gt;$BY$11,"",INDEX(tblData[Sorted Arr Id],SMALL(IF(LEN(TRIM(tblData[Surname]))*(tblData[Arr DateTime]&gt;0),ROW(tblData[Sorted Arr Id])-ROW(tblData[[#Headers],[Sorted Arr Id]])),ROWS(tblData[[#Headers],[Sorted Arr Id]]:tblData[[#This Row],[Sorted Arr Id]])-1)))</f>
        <v/>
      </c>
      <c r="CA15" s="6" t="str">
        <f>IF(ROWS(tblArrivalSorted[[#Headers],[Id]]:tblArrivalSorted[[#This Row],[Id]])-1&gt;$CA$11,"",SMALL(tblArrival[Id],ROWS(tblArrivalSorted[[#Headers],[Id]]:tblArrivalSorted[[#This Row],[Id]])-1))</f>
        <v/>
      </c>
      <c r="CC15" s="6" t="str">
        <f t="array" ref="CC15">IF(ROWS(tblData[[#Headers],[Sorted Dep Id]]:tblData[[#This Row],[Sorted Dep Id]])-1&gt;$CC$11,"",INDEX(tblData[Sorted Dep Id],SMALL(IF(LEN(TRIM(tblData[Surname]))*(tblData[Dep DateTime]&gt;0),ROW(tblData[Sorted Dep Id])-ROW(tblData[[#Headers],[Sorted Dep Id]])),ROWS(tblData[[#Headers],[Sorted Dep Id]]:tblData[[#This Row],[Sorted Dep Id]])-1)))</f>
        <v/>
      </c>
      <c r="CE15" s="6" t="str">
        <f>IF(ROWS(tblDepartureSorted[[#Headers],[Id]]:tblDepartureSorted[[#This Row],[Id]])-1&gt;$CE$11,"",SMALL(tblDeparture[Id],ROWS(tblDepartureSorted[[#Headers],[Id]]:tblDepartureSorted[[#This Row],[Id]])-1))</f>
        <v/>
      </c>
      <c r="CG15" s="6" t="str">
        <f t="array" ref="CG15">IF(ROWS(tblData[[#Headers],[Id]]:tblData[[#This Row],[Id]])-1&gt;$CG$11,"",INDEX(tblData[Id],SMALL(IF(LEN(TRIM(tblData[Surname])),ROW(tblData[Id])-ROW(tblData[[#Headers],[Id]])),ROWS(tblData[[#Headers],[Id]]:tblData[[#This Row],[Id]])-1)))</f>
        <v/>
      </c>
    </row>
    <row r="16" spans="1:85" s="6" customFormat="1">
      <c r="A16" s="14">
        <f>IF(ISNUMBER(tblData[[#This Row],[SubType2]]),tblData[[#This Row],[SubType2]]*10000+tblData[[#This Row],[No]],1000000+tblData[[#This Row],[No]])</f>
        <v>1000003</v>
      </c>
      <c r="B16" s="14">
        <f>IFERROR(tblData[[#This Row],[Surname Rang]]*1000+tblData[[#This Row],[Given Name Rang]]+tblData[[#This Row],[No]]/1000,"")</f>
        <v>3.0000000000000001E-3</v>
      </c>
      <c r="C16" s="14">
        <f>IFERROR(tblData[[#This Row],[Arr DateTime Rang]]+tblData[[#This Row],[No]]/1000,"")</f>
        <v>110.003</v>
      </c>
      <c r="D16" s="14">
        <f>IFERROR(tblData[[#This Row],[Dep DateTime Rang]]+tblData[[#This Row],[No]]/1000,"")</f>
        <v>110.003</v>
      </c>
      <c r="E16" s="362">
        <f t="shared" si="1"/>
        <v>3</v>
      </c>
      <c r="F16" s="368"/>
      <c r="G16" s="327"/>
      <c r="H16" s="328"/>
      <c r="I16" s="329"/>
      <c r="J16" s="330"/>
      <c r="K16" s="436"/>
      <c r="L16" s="437"/>
      <c r="M16" s="327"/>
      <c r="N16" s="327"/>
      <c r="O16" s="327"/>
      <c r="P16" s="329"/>
      <c r="Q16" s="376"/>
      <c r="R16" s="383"/>
      <c r="S16" s="332"/>
      <c r="T16" s="331"/>
      <c r="U16" s="333"/>
      <c r="V16" s="333"/>
      <c r="W16" s="384"/>
      <c r="X16" s="383"/>
      <c r="Y16" s="332"/>
      <c r="Z16" s="331"/>
      <c r="AA16" s="331"/>
      <c r="AB16" s="333"/>
      <c r="AC16" s="384"/>
      <c r="AD16" s="375"/>
      <c r="AE16" s="369"/>
      <c r="AF16" s="397"/>
      <c r="AG16" s="328"/>
      <c r="AH16" s="328"/>
      <c r="AI16" s="328"/>
      <c r="AJ16" s="328"/>
      <c r="AK16" s="328"/>
      <c r="AL16" s="328"/>
      <c r="AM16" s="328"/>
      <c r="AN16" s="398"/>
      <c r="AO16" s="402" t="str">
        <f>IF(ISBLANK(tblData[[#This Row],[Surname]]),"",IF(tblData[[#This Row],[Bill Accred Fee]]=0,"NO","YES"))</f>
        <v/>
      </c>
      <c r="AP16" s="406">
        <f>IF(AND(NOT(ISBLANK(tblData[[#This Row],[Surname]])),COUNTA(tblData[[#This Row],[Day 1]:[Day 9]])=0),1,0)</f>
        <v>0</v>
      </c>
      <c r="AQ16" s="406">
        <f>IF(AND(NOT(ISBLANK(tblData[[#This Row],[Surname]])),tblData[[#This Row],[Position]]="Athlete"),1,0)</f>
        <v>0</v>
      </c>
      <c r="AR16" s="433">
        <f>EntryFee*tblData[[#This Row],[Entry Fee Billable]]</f>
        <v>0</v>
      </c>
      <c r="AS16" s="410" t="e">
        <f>IF(ISBLANK(SelectedCategory),"No Cat!",IF(ISBLANK($F16),0,IFERROR(VLOOKUP(AS$12&amp;", "&amp;tblData[[#This Row],[Day 1]],tblAccommodationCosts[],5,FALSE),0)+IFERROR(VLOOKUP(AS$12&amp;", "&amp;tblData[[#This Row],[Day 2]],tblAccommodationCosts[],5,FALSE),0)+IFERROR(VLOOKUP(AS$12&amp;", "&amp;tblData[[#This Row],[Day 3]],tblAccommodationCosts[],5,FALSE),0)+IFERROR(VLOOKUP(AS$12&amp;", "&amp;tblData[[#This Row],[Day 4]],tblAccommodationCosts[],5,FALSE),0)+IFERROR(VLOOKUP(AS$12&amp;", "&amp;tblData[[#This Row],[Day 5]],tblAccommodationCosts[],5,FALSE),0)+IFERROR(VLOOKUP(AS$12&amp;", "&amp;tblData[[#This Row],[Day 6]],tblAccommodationCosts[],5,FALSE),0)+IFERROR(VLOOKUP(AS$12&amp;", "&amp;tblData[[#This Row],[Day 7]],tblAccommodationCosts[],5,FALSE),0)+IFERROR(VLOOKUP(AS$12&amp;", "&amp;tblData[[#This Row],[Day 8]],tblAccommodationCosts[],5,FALSE),0)+IFERROR(VLOOKUP(AS$12&amp;", "&amp;tblData[[#This Row],[Day 9]],tblAccommodationCosts[],5,FALSE),0)+AccreditationFee*tblData[[#This Row],[Bill Accred Fee]]))+tblData[[#This Row],[Entry Fee]]</f>
        <v>#VALUE!</v>
      </c>
      <c r="AT16" s="324" t="str">
        <f>IFERROR(VLOOKUP(tblData[[#This Row],[Weight Category, Function, and Gender]],tblWeightOrFunction[],3,0),"")</f>
        <v/>
      </c>
      <c r="AU16" s="84" t="str">
        <f>IFERROR(VLOOKUP(tblData[[#This Row],[Weight Category, Function, and Gender]],tblWeightOrFunction[],4,0),"")</f>
        <v/>
      </c>
      <c r="AV16" s="85" t="str">
        <f>IFERROR(VLOOKUP(tblData[[#This Row],[Weight Category, Function, and Gender]],tblWeightOrFunction[],7,0),"")</f>
        <v/>
      </c>
      <c r="AW16" s="84" t="str">
        <f>IFERROR(VLOOKUP(tblData[[#This Row],[Weight Category, Function, and Gender]],tblWeightOrFunction[],6,0),"")</f>
        <v/>
      </c>
      <c r="AX16" s="84" t="str">
        <f>IFERROR(VLOOKUP(tblData[[#This Row],[Weight Category, Function, and Gender]],tblWeightOrFunction[],2,0),"")</f>
        <v/>
      </c>
      <c r="AY16" s="75">
        <f>tblData[[#This Row],[Arr Date]]+tblData[[#This Row],[Arr Time]]</f>
        <v>0</v>
      </c>
      <c r="AZ16" s="75">
        <f>tblData[[#This Row],[Dep Date]]+tblData[[#This Row],[Dep Time]]</f>
        <v>0</v>
      </c>
      <c r="BA16" s="72">
        <f>COUNTIF(tblData[Surname],"&lt;="&amp;tblData[Surname])</f>
        <v>0</v>
      </c>
      <c r="BB16" s="72">
        <f>COUNTIF(tblData[Given name],"&lt;="&amp;tblData[Given name])</f>
        <v>0</v>
      </c>
      <c r="BC16" s="72">
        <f>COUNTIF(tblData[Arr DateTime],"&lt;="&amp;tblData[Arr DateTime])</f>
        <v>110</v>
      </c>
      <c r="BD16" s="72">
        <f>COUNTIF(tblData[Dep DateTime],"&lt;="&amp;tblData[Dep DateTime])</f>
        <v>110</v>
      </c>
      <c r="BE16" s="72">
        <f>COUNTIF(tblData[ShuttleAtDeparture],"&lt;="&amp;tblData[ShuttleAtDeparture])</f>
        <v>0</v>
      </c>
      <c r="BI16" s="6" t="str">
        <f t="array" ref="BI16">IF(ROWS(tblData[[#Headers],[Id]]:tblData[[#This Row],[Id]])-1&gt;$BI$11,"",INDEX(tblData[Id],SMALL(IF(LEN(TRIM(tblData[Surname]))*((tblData[Type]=$BI$9)+(tblData[Type]=$BI$10)),ROW(tblData[Id])-ROW(tblData[[#Headers],[Id]])),ROWS(tblData[[#Headers],[Id]]:tblData[[#This Row],[Id]])-1)))</f>
        <v/>
      </c>
      <c r="BK16" s="6" t="str">
        <f>IF(ROWS(tblCoachesAndOfficialsSorted[[#Headers],[Id]]:tblCoachesAndOfficialsSorted[[#This Row],[Id]])-1&gt;$BK$11,"",SMALL(tblCoachesAndOfficials[Id],ROWS(tblCoachesAndOfficialsSorted[[#Headers],[Id]]:tblCoachesAndOfficialsSorted[[#This Row],[Id]])-1))</f>
        <v/>
      </c>
      <c r="BM16" s="6" t="str">
        <f t="array" ref="BM16">IF(ROWS(tblData[[#Headers],[Id]]:tblData[[#This Row],[Id]])-1&gt;$BM$11,"",INDEX(tblData[Id],SMALL(IF(LEN(TRIM(tblData[Surname]))*(tblData[Type]=$BM$9),ROW(tblData[Id])-ROW(tblData[[#Headers],[Id]])),ROWS(tblData[[#Headers],[Id]]:tblData[[#This Row],[Id]])-1)))</f>
        <v/>
      </c>
      <c r="BO16" s="6" t="str">
        <f>IF(ROWS(tblWomenSorted[[#Headers],[Id]]:tblWomenSorted[[#This Row],[Id]])-1&gt;$BO$11,"",SMALL(tblWomen[Id],ROWS(tblWomenSorted[[#Headers],[Id]]:tblWomenSorted[[#This Row],[Id]])-1))</f>
        <v/>
      </c>
      <c r="BP16" s="17"/>
      <c r="BQ16" s="6" t="str">
        <f t="array" ref="BQ16">IF(ROWS(tblData[[#Headers],[Id]]:tblData[[#This Row],[Id]])-1&gt;$BQ$11,"",INDEX(tblData[Id],SMALL(IF(LEN(TRIM(tblData[Surname]))*(tblData[Type]=$BQ$9),ROW(tblData[Id])-ROW(tblData[[#Headers],[Id]])),ROWS(tblData[[#Headers],[Id]]:tblData[[#This Row],[Id]])-1)))</f>
        <v/>
      </c>
      <c r="BS16" s="6" t="str">
        <f>IF(ROWS(tblMenSorted[[#Headers],[Id]]:tblMenSorted[[#This Row],[Id]])-1&gt;$BS$11,"",SMALL(tblMen[Id],ROWS(tblMenSorted[[#Headers],[Id]]:tblMenSorted[[#This Row],[Id]])-1))</f>
        <v/>
      </c>
      <c r="BU16" s="6" t="str">
        <f t="array" ref="BU16">IF(ROWS(tblData[[#Headers],[Sorted Name Id]]:tblData[[#This Row],[Sorted Name Id]])-1&gt;$BU$11,"",INDEX(tblData[Sorted Name Id],SMALL(IF(LEN(TRIM(tblData[Surname]))*(tblData[Visa required]="YES"),ROW(tblData[Sorted Name Id])-ROW(tblData[[#Headers],[Sorted Name Id]])),ROWS(tblData[[#Headers],[Sorted Name Id]]:tblData[[#This Row],[Sorted Name Id]])-1)))</f>
        <v/>
      </c>
      <c r="BW16" s="6" t="str">
        <f>IF(ROWS(tblVisasSorted[[#Headers],[Id]]:tblVisasSorted[[#This Row],[Id]])-1&gt;$BW$11,"",SMALL(tblVisas[Id],ROWS(tblVisasSorted[[#Headers],[Id]]:tblVisasSorted[[#This Row],[Id]])-1))</f>
        <v/>
      </c>
      <c r="BY16" s="6" t="str">
        <f t="array" ref="BY16">IF(ROWS(tblData[[#Headers],[Sorted Arr Id]]:tblData[[#This Row],[Sorted Arr Id]])-1&gt;$BY$11,"",INDEX(tblData[Sorted Arr Id],SMALL(IF(LEN(TRIM(tblData[Surname]))*(tblData[Arr DateTime]&gt;0),ROW(tblData[Sorted Arr Id])-ROW(tblData[[#Headers],[Sorted Arr Id]])),ROWS(tblData[[#Headers],[Sorted Arr Id]]:tblData[[#This Row],[Sorted Arr Id]])-1)))</f>
        <v/>
      </c>
      <c r="CA16" s="6" t="str">
        <f>IF(ROWS(tblArrivalSorted[[#Headers],[Id]]:tblArrivalSorted[[#This Row],[Id]])-1&gt;$CA$11,"",SMALL(tblArrival[Id],ROWS(tblArrivalSorted[[#Headers],[Id]]:tblArrivalSorted[[#This Row],[Id]])-1))</f>
        <v/>
      </c>
      <c r="CC16" s="6" t="str">
        <f t="array" ref="CC16">IF(ROWS(tblData[[#Headers],[Sorted Dep Id]]:tblData[[#This Row],[Sorted Dep Id]])-1&gt;$CC$11,"",INDEX(tblData[Sorted Dep Id],SMALL(IF(LEN(TRIM(tblData[Surname]))*(tblData[Dep DateTime]&gt;0),ROW(tblData[Sorted Dep Id])-ROW(tblData[[#Headers],[Sorted Dep Id]])),ROWS(tblData[[#Headers],[Sorted Dep Id]]:tblData[[#This Row],[Sorted Dep Id]])-1)))</f>
        <v/>
      </c>
      <c r="CE16" s="6" t="str">
        <f>IF(ROWS(tblDepartureSorted[[#Headers],[Id]]:tblDepartureSorted[[#This Row],[Id]])-1&gt;$CE$11,"",SMALL(tblDeparture[Id],ROWS(tblDepartureSorted[[#Headers],[Id]]:tblDepartureSorted[[#This Row],[Id]])-1))</f>
        <v/>
      </c>
      <c r="CG16" s="6" t="str">
        <f t="array" ref="CG16">IF(ROWS(tblData[[#Headers],[Id]]:tblData[[#This Row],[Id]])-1&gt;$CG$11,"",INDEX(tblData[Id],SMALL(IF(LEN(TRIM(tblData[Surname])),ROW(tblData[Id])-ROW(tblData[[#Headers],[Id]])),ROWS(tblData[[#Headers],[Id]]:tblData[[#This Row],[Id]])-1)))</f>
        <v/>
      </c>
    </row>
    <row r="17" spans="1:85" s="6" customFormat="1">
      <c r="A17" s="14">
        <f>IF(ISNUMBER(tblData[[#This Row],[SubType2]]),tblData[[#This Row],[SubType2]]*10000+tblData[[#This Row],[No]],1000000+tblData[[#This Row],[No]])</f>
        <v>1000004</v>
      </c>
      <c r="B17" s="14">
        <f>IFERROR(tblData[[#This Row],[Surname Rang]]*1000+tblData[[#This Row],[Given Name Rang]]+tblData[[#This Row],[No]]/1000,"")</f>
        <v>4.0000000000000001E-3</v>
      </c>
      <c r="C17" s="14">
        <f>IFERROR(tblData[[#This Row],[Arr DateTime Rang]]+tblData[[#This Row],[No]]/1000,"")</f>
        <v>110.004</v>
      </c>
      <c r="D17" s="14">
        <f>IFERROR(tblData[[#This Row],[Dep DateTime Rang]]+tblData[[#This Row],[No]]/1000,"")</f>
        <v>110.004</v>
      </c>
      <c r="E17" s="362">
        <f t="shared" si="1"/>
        <v>4</v>
      </c>
      <c r="F17" s="368"/>
      <c r="G17" s="327"/>
      <c r="H17" s="328"/>
      <c r="I17" s="329"/>
      <c r="J17" s="330"/>
      <c r="K17" s="369"/>
      <c r="L17" s="375"/>
      <c r="M17" s="331"/>
      <c r="N17" s="331"/>
      <c r="O17" s="331"/>
      <c r="P17" s="329"/>
      <c r="Q17" s="376"/>
      <c r="R17" s="383"/>
      <c r="S17" s="332"/>
      <c r="T17" s="331"/>
      <c r="U17" s="333"/>
      <c r="V17" s="333"/>
      <c r="W17" s="384"/>
      <c r="X17" s="383"/>
      <c r="Y17" s="332"/>
      <c r="Z17" s="331"/>
      <c r="AA17" s="331"/>
      <c r="AB17" s="333"/>
      <c r="AC17" s="384"/>
      <c r="AD17" s="375"/>
      <c r="AE17" s="369"/>
      <c r="AF17" s="397"/>
      <c r="AG17" s="328"/>
      <c r="AH17" s="328"/>
      <c r="AI17" s="328"/>
      <c r="AJ17" s="328"/>
      <c r="AK17" s="328"/>
      <c r="AL17" s="328"/>
      <c r="AM17" s="328"/>
      <c r="AN17" s="398"/>
      <c r="AO17" s="402" t="str">
        <f>IF(ISBLANK(tblData[[#This Row],[Surname]]),"",IF(tblData[[#This Row],[Bill Accred Fee]]=0,"NO","YES"))</f>
        <v/>
      </c>
      <c r="AP17" s="406">
        <f>IF(AND(NOT(ISBLANK(tblData[[#This Row],[Surname]])),COUNTA(tblData[[#This Row],[Day 1]:[Day 9]])=0),1,0)</f>
        <v>0</v>
      </c>
      <c r="AQ17" s="406">
        <f>IF(AND(NOT(ISBLANK(tblData[[#This Row],[Surname]])),tblData[[#This Row],[Position]]="Athlete"),1,0)</f>
        <v>0</v>
      </c>
      <c r="AR17" s="433">
        <f>EntryFee*tblData[[#This Row],[Entry Fee Billable]]</f>
        <v>0</v>
      </c>
      <c r="AS17" s="410" t="e">
        <f>IF(ISBLANK(SelectedCategory),"No Cat!",IF(ISBLANK($F17),0,IFERROR(VLOOKUP(AS$12&amp;", "&amp;tblData[[#This Row],[Day 1]],tblAccommodationCosts[],5,FALSE),0)+IFERROR(VLOOKUP(AS$12&amp;", "&amp;tblData[[#This Row],[Day 2]],tblAccommodationCosts[],5,FALSE),0)+IFERROR(VLOOKUP(AS$12&amp;", "&amp;tblData[[#This Row],[Day 3]],tblAccommodationCosts[],5,FALSE),0)+IFERROR(VLOOKUP(AS$12&amp;", "&amp;tblData[[#This Row],[Day 4]],tblAccommodationCosts[],5,FALSE),0)+IFERROR(VLOOKUP(AS$12&amp;", "&amp;tblData[[#This Row],[Day 5]],tblAccommodationCosts[],5,FALSE),0)+IFERROR(VLOOKUP(AS$12&amp;", "&amp;tblData[[#This Row],[Day 6]],tblAccommodationCosts[],5,FALSE),0)+IFERROR(VLOOKUP(AS$12&amp;", "&amp;tblData[[#This Row],[Day 7]],tblAccommodationCosts[],5,FALSE),0)+IFERROR(VLOOKUP(AS$12&amp;", "&amp;tblData[[#This Row],[Day 8]],tblAccommodationCosts[],5,FALSE),0)+IFERROR(VLOOKUP(AS$12&amp;", "&amp;tblData[[#This Row],[Day 9]],tblAccommodationCosts[],5,FALSE),0)+AccreditationFee*tblData[[#This Row],[Bill Accred Fee]]))+tblData[[#This Row],[Entry Fee]]</f>
        <v>#VALUE!</v>
      </c>
      <c r="AT17" s="324" t="str">
        <f>IFERROR(VLOOKUP(tblData[[#This Row],[Weight Category, Function, and Gender]],tblWeightOrFunction[],3,0),"")</f>
        <v/>
      </c>
      <c r="AU17" s="84" t="str">
        <f>IFERROR(VLOOKUP(tblData[[#This Row],[Weight Category, Function, and Gender]],tblWeightOrFunction[],4,0),"")</f>
        <v/>
      </c>
      <c r="AV17" s="85" t="str">
        <f>IFERROR(VLOOKUP(tblData[[#This Row],[Weight Category, Function, and Gender]],tblWeightOrFunction[],7,0),"")</f>
        <v/>
      </c>
      <c r="AW17" s="84" t="str">
        <f>IFERROR(VLOOKUP(tblData[[#This Row],[Weight Category, Function, and Gender]],tblWeightOrFunction[],6,0),"")</f>
        <v/>
      </c>
      <c r="AX17" s="84" t="str">
        <f>IFERROR(VLOOKUP(tblData[[#This Row],[Weight Category, Function, and Gender]],tblWeightOrFunction[],2,0),"")</f>
        <v/>
      </c>
      <c r="AY17" s="75">
        <f>tblData[[#This Row],[Arr Date]]+tblData[[#This Row],[Arr Time]]</f>
        <v>0</v>
      </c>
      <c r="AZ17" s="75">
        <f>tblData[[#This Row],[Dep Date]]+tblData[[#This Row],[Dep Time]]</f>
        <v>0</v>
      </c>
      <c r="BA17" s="72">
        <f>COUNTIF(tblData[Surname],"&lt;="&amp;tblData[Surname])</f>
        <v>0</v>
      </c>
      <c r="BB17" s="72">
        <f>COUNTIF(tblData[Given name],"&lt;="&amp;tblData[Given name])</f>
        <v>0</v>
      </c>
      <c r="BC17" s="72">
        <f>COUNTIF(tblData[Arr DateTime],"&lt;="&amp;tblData[Arr DateTime])</f>
        <v>110</v>
      </c>
      <c r="BD17" s="72">
        <f>COUNTIF(tblData[Dep DateTime],"&lt;="&amp;tblData[Dep DateTime])</f>
        <v>110</v>
      </c>
      <c r="BE17" s="72">
        <f>COUNTIF(tblData[ShuttleAtDeparture],"&lt;="&amp;tblData[ShuttleAtDeparture])</f>
        <v>0</v>
      </c>
      <c r="BI17" s="6" t="str">
        <f t="array" ref="BI17">IF(ROWS(tblData[[#Headers],[Id]]:tblData[[#This Row],[Id]])-1&gt;$BI$11,"",INDEX(tblData[Id],SMALL(IF(LEN(TRIM(tblData[Surname]))*((tblData[Type]=$BI$9)+(tblData[Type]=$BI$10)),ROW(tblData[Id])-ROW(tblData[[#Headers],[Id]])),ROWS(tblData[[#Headers],[Id]]:tblData[[#This Row],[Id]])-1)))</f>
        <v/>
      </c>
      <c r="BK17" s="6" t="str">
        <f>IF(ROWS(tblCoachesAndOfficialsSorted[[#Headers],[Id]]:tblCoachesAndOfficialsSorted[[#This Row],[Id]])-1&gt;$BK$11,"",SMALL(tblCoachesAndOfficials[Id],ROWS(tblCoachesAndOfficialsSorted[[#Headers],[Id]]:tblCoachesAndOfficialsSorted[[#This Row],[Id]])-1))</f>
        <v/>
      </c>
      <c r="BM17" s="6" t="str">
        <f t="array" ref="BM17">IF(ROWS(tblData[[#Headers],[Id]]:tblData[[#This Row],[Id]])-1&gt;$BM$11,"",INDEX(tblData[Id],SMALL(IF(LEN(TRIM(tblData[Surname]))*(tblData[Type]=$BM$9),ROW(tblData[Id])-ROW(tblData[[#Headers],[Id]])),ROWS(tblData[[#Headers],[Id]]:tblData[[#This Row],[Id]])-1)))</f>
        <v/>
      </c>
      <c r="BO17" s="6" t="str">
        <f>IF(ROWS(tblWomenSorted[[#Headers],[Id]]:tblWomenSorted[[#This Row],[Id]])-1&gt;$BO$11,"",SMALL(tblWomen[Id],ROWS(tblWomenSorted[[#Headers],[Id]]:tblWomenSorted[[#This Row],[Id]])-1))</f>
        <v/>
      </c>
      <c r="BP17" s="17"/>
      <c r="BQ17" s="6" t="str">
        <f t="array" ref="BQ17">IF(ROWS(tblData[[#Headers],[Id]]:tblData[[#This Row],[Id]])-1&gt;$BQ$11,"",INDEX(tblData[Id],SMALL(IF(LEN(TRIM(tblData[Surname]))*(tblData[Type]=$BQ$9),ROW(tblData[Id])-ROW(tblData[[#Headers],[Id]])),ROWS(tblData[[#Headers],[Id]]:tblData[[#This Row],[Id]])-1)))</f>
        <v/>
      </c>
      <c r="BS17" s="6" t="str">
        <f>IF(ROWS(tblMenSorted[[#Headers],[Id]]:tblMenSorted[[#This Row],[Id]])-1&gt;$BS$11,"",SMALL(tblMen[Id],ROWS(tblMenSorted[[#Headers],[Id]]:tblMenSorted[[#This Row],[Id]])-1))</f>
        <v/>
      </c>
      <c r="BU17" s="6" t="str">
        <f t="array" ref="BU17">IF(ROWS(tblData[[#Headers],[Sorted Name Id]]:tblData[[#This Row],[Sorted Name Id]])-1&gt;$BU$11,"",INDEX(tblData[Sorted Name Id],SMALL(IF(LEN(TRIM(tblData[Surname]))*(tblData[Visa required]="YES"),ROW(tblData[Sorted Name Id])-ROW(tblData[[#Headers],[Sorted Name Id]])),ROWS(tblData[[#Headers],[Sorted Name Id]]:tblData[[#This Row],[Sorted Name Id]])-1)))</f>
        <v/>
      </c>
      <c r="BW17" s="6" t="str">
        <f>IF(ROWS(tblVisasSorted[[#Headers],[Id]]:tblVisasSorted[[#This Row],[Id]])-1&gt;$BW$11,"",SMALL(tblVisas[Id],ROWS(tblVisasSorted[[#Headers],[Id]]:tblVisasSorted[[#This Row],[Id]])-1))</f>
        <v/>
      </c>
      <c r="BY17" s="6" t="str">
        <f t="array" ref="BY17">IF(ROWS(tblData[[#Headers],[Sorted Arr Id]]:tblData[[#This Row],[Sorted Arr Id]])-1&gt;$BY$11,"",INDEX(tblData[Sorted Arr Id],SMALL(IF(LEN(TRIM(tblData[Surname]))*(tblData[Arr DateTime]&gt;0),ROW(tblData[Sorted Arr Id])-ROW(tblData[[#Headers],[Sorted Arr Id]])),ROWS(tblData[[#Headers],[Sorted Arr Id]]:tblData[[#This Row],[Sorted Arr Id]])-1)))</f>
        <v/>
      </c>
      <c r="CA17" s="6" t="str">
        <f>IF(ROWS(tblArrivalSorted[[#Headers],[Id]]:tblArrivalSorted[[#This Row],[Id]])-1&gt;$CA$11,"",SMALL(tblArrival[Id],ROWS(tblArrivalSorted[[#Headers],[Id]]:tblArrivalSorted[[#This Row],[Id]])-1))</f>
        <v/>
      </c>
      <c r="CC17" s="6" t="str">
        <f t="array" ref="CC17">IF(ROWS(tblData[[#Headers],[Sorted Dep Id]]:tblData[[#This Row],[Sorted Dep Id]])-1&gt;$CC$11,"",INDEX(tblData[Sorted Dep Id],SMALL(IF(LEN(TRIM(tblData[Surname]))*(tblData[Dep DateTime]&gt;0),ROW(tblData[Sorted Dep Id])-ROW(tblData[[#Headers],[Sorted Dep Id]])),ROWS(tblData[[#Headers],[Sorted Dep Id]]:tblData[[#This Row],[Sorted Dep Id]])-1)))</f>
        <v/>
      </c>
      <c r="CE17" s="6" t="str">
        <f>IF(ROWS(tblDepartureSorted[[#Headers],[Id]]:tblDepartureSorted[[#This Row],[Id]])-1&gt;$CE$11,"",SMALL(tblDeparture[Id],ROWS(tblDepartureSorted[[#Headers],[Id]]:tblDepartureSorted[[#This Row],[Id]])-1))</f>
        <v/>
      </c>
      <c r="CG17" s="6" t="str">
        <f t="array" ref="CG17">IF(ROWS(tblData[[#Headers],[Id]]:tblData[[#This Row],[Id]])-1&gt;$CG$11,"",INDEX(tblData[Id],SMALL(IF(LEN(TRIM(tblData[Surname])),ROW(tblData[Id])-ROW(tblData[[#Headers],[Id]])),ROWS(tblData[[#Headers],[Id]]:tblData[[#This Row],[Id]])-1)))</f>
        <v/>
      </c>
    </row>
    <row r="18" spans="1:85" s="6" customFormat="1">
      <c r="A18" s="14">
        <f>IF(ISNUMBER(tblData[[#This Row],[SubType2]]),tblData[[#This Row],[SubType2]]*10000+tblData[[#This Row],[No]],1000000+tblData[[#This Row],[No]])</f>
        <v>1000005</v>
      </c>
      <c r="B18" s="14">
        <f>IFERROR(tblData[[#This Row],[Surname Rang]]*1000+tblData[[#This Row],[Given Name Rang]]+tblData[[#This Row],[No]]/1000,"")</f>
        <v>5.0000000000000001E-3</v>
      </c>
      <c r="C18" s="14">
        <f>IFERROR(tblData[[#This Row],[Arr DateTime Rang]]+tblData[[#This Row],[No]]/1000,"")</f>
        <v>110.005</v>
      </c>
      <c r="D18" s="14">
        <f>IFERROR(tblData[[#This Row],[Dep DateTime Rang]]+tblData[[#This Row],[No]]/1000,"")</f>
        <v>110.005</v>
      </c>
      <c r="E18" s="362">
        <f t="shared" si="1"/>
        <v>5</v>
      </c>
      <c r="F18" s="370"/>
      <c r="G18" s="331"/>
      <c r="H18" s="328"/>
      <c r="I18" s="329"/>
      <c r="J18" s="330"/>
      <c r="K18" s="369"/>
      <c r="L18" s="375"/>
      <c r="M18" s="331"/>
      <c r="N18" s="331"/>
      <c r="O18" s="331"/>
      <c r="P18" s="329"/>
      <c r="Q18" s="376"/>
      <c r="R18" s="383"/>
      <c r="S18" s="332"/>
      <c r="T18" s="331"/>
      <c r="U18" s="333"/>
      <c r="V18" s="333"/>
      <c r="W18" s="384"/>
      <c r="X18" s="383"/>
      <c r="Y18" s="332"/>
      <c r="Z18" s="331"/>
      <c r="AA18" s="331"/>
      <c r="AB18" s="333"/>
      <c r="AC18" s="384"/>
      <c r="AD18" s="375"/>
      <c r="AE18" s="369"/>
      <c r="AF18" s="397"/>
      <c r="AG18" s="328"/>
      <c r="AH18" s="328"/>
      <c r="AI18" s="328"/>
      <c r="AJ18" s="328"/>
      <c r="AK18" s="328"/>
      <c r="AL18" s="328"/>
      <c r="AM18" s="328"/>
      <c r="AN18" s="398"/>
      <c r="AO18" s="402" t="str">
        <f>IF(ISBLANK(tblData[[#This Row],[Surname]]),"",IF(tblData[[#This Row],[Bill Accred Fee]]=0,"NO","YES"))</f>
        <v/>
      </c>
      <c r="AP18" s="406">
        <f>IF(AND(NOT(ISBLANK(tblData[[#This Row],[Surname]])),COUNTA(tblData[[#This Row],[Day 1]:[Day 9]])=0),1,0)</f>
        <v>0</v>
      </c>
      <c r="AQ18" s="406">
        <f>IF(AND(NOT(ISBLANK(tblData[[#This Row],[Surname]])),tblData[[#This Row],[Position]]="Athlete"),1,0)</f>
        <v>0</v>
      </c>
      <c r="AR18" s="433">
        <f>EntryFee*tblData[[#This Row],[Entry Fee Billable]]</f>
        <v>0</v>
      </c>
      <c r="AS18" s="410" t="e">
        <f>IF(ISBLANK(SelectedCategory),"No Cat!",IF(ISBLANK($F18),0,IFERROR(VLOOKUP(AS$12&amp;", "&amp;tblData[[#This Row],[Day 1]],tblAccommodationCosts[],5,FALSE),0)+IFERROR(VLOOKUP(AS$12&amp;", "&amp;tblData[[#This Row],[Day 2]],tblAccommodationCosts[],5,FALSE),0)+IFERROR(VLOOKUP(AS$12&amp;", "&amp;tblData[[#This Row],[Day 3]],tblAccommodationCosts[],5,FALSE),0)+IFERROR(VLOOKUP(AS$12&amp;", "&amp;tblData[[#This Row],[Day 4]],tblAccommodationCosts[],5,FALSE),0)+IFERROR(VLOOKUP(AS$12&amp;", "&amp;tblData[[#This Row],[Day 5]],tblAccommodationCosts[],5,FALSE),0)+IFERROR(VLOOKUP(AS$12&amp;", "&amp;tblData[[#This Row],[Day 6]],tblAccommodationCosts[],5,FALSE),0)+IFERROR(VLOOKUP(AS$12&amp;", "&amp;tblData[[#This Row],[Day 7]],tblAccommodationCosts[],5,FALSE),0)+IFERROR(VLOOKUP(AS$12&amp;", "&amp;tblData[[#This Row],[Day 8]],tblAccommodationCosts[],5,FALSE),0)+IFERROR(VLOOKUP(AS$12&amp;", "&amp;tblData[[#This Row],[Day 9]],tblAccommodationCosts[],5,FALSE),0)+AccreditationFee*tblData[[#This Row],[Bill Accred Fee]]))+tblData[[#This Row],[Entry Fee]]</f>
        <v>#VALUE!</v>
      </c>
      <c r="AT18" s="324" t="str">
        <f>IFERROR(VLOOKUP(tblData[[#This Row],[Weight Category, Function, and Gender]],tblWeightOrFunction[],3,0),"")</f>
        <v/>
      </c>
      <c r="AU18" s="84" t="str">
        <f>IFERROR(VLOOKUP(tblData[[#This Row],[Weight Category, Function, and Gender]],tblWeightOrFunction[],4,0),"")</f>
        <v/>
      </c>
      <c r="AV18" s="85" t="str">
        <f>IFERROR(VLOOKUP(tblData[[#This Row],[Weight Category, Function, and Gender]],tblWeightOrFunction[],7,0),"")</f>
        <v/>
      </c>
      <c r="AW18" s="84" t="str">
        <f>IFERROR(VLOOKUP(tblData[[#This Row],[Weight Category, Function, and Gender]],tblWeightOrFunction[],6,0),"")</f>
        <v/>
      </c>
      <c r="AX18" s="84" t="str">
        <f>IFERROR(VLOOKUP(tblData[[#This Row],[Weight Category, Function, and Gender]],tblWeightOrFunction[],2,0),"")</f>
        <v/>
      </c>
      <c r="AY18" s="75">
        <f>tblData[[#This Row],[Arr Date]]+tblData[[#This Row],[Arr Time]]</f>
        <v>0</v>
      </c>
      <c r="AZ18" s="75">
        <f>tblData[[#This Row],[Dep Date]]+tblData[[#This Row],[Dep Time]]</f>
        <v>0</v>
      </c>
      <c r="BA18" s="72">
        <f>COUNTIF(tblData[Surname],"&lt;="&amp;tblData[Surname])</f>
        <v>0</v>
      </c>
      <c r="BB18" s="72">
        <f>COUNTIF(tblData[Given name],"&lt;="&amp;tblData[Given name])</f>
        <v>0</v>
      </c>
      <c r="BC18" s="72">
        <f>COUNTIF(tblData[Arr DateTime],"&lt;="&amp;tblData[Arr DateTime])</f>
        <v>110</v>
      </c>
      <c r="BD18" s="72">
        <f>COUNTIF(tblData[Dep DateTime],"&lt;="&amp;tblData[Dep DateTime])</f>
        <v>110</v>
      </c>
      <c r="BE18" s="72">
        <f>COUNTIF(tblData[ShuttleAtDeparture],"&lt;="&amp;tblData[ShuttleAtDeparture])</f>
        <v>0</v>
      </c>
      <c r="BI18" s="6" t="str">
        <f t="array" ref="BI18">IF(ROWS(tblData[[#Headers],[Id]]:tblData[[#This Row],[Id]])-1&gt;$BI$11,"",INDEX(tblData[Id],SMALL(IF(LEN(TRIM(tblData[Surname]))*((tblData[Type]=$BI$9)+(tblData[Type]=$BI$10)),ROW(tblData[Id])-ROW(tblData[[#Headers],[Id]])),ROWS(tblData[[#Headers],[Id]]:tblData[[#This Row],[Id]])-1)))</f>
        <v/>
      </c>
      <c r="BK18" s="6" t="str">
        <f>IF(ROWS(tblCoachesAndOfficialsSorted[[#Headers],[Id]]:tblCoachesAndOfficialsSorted[[#This Row],[Id]])-1&gt;$BK$11,"",SMALL(tblCoachesAndOfficials[Id],ROWS(tblCoachesAndOfficialsSorted[[#Headers],[Id]]:tblCoachesAndOfficialsSorted[[#This Row],[Id]])-1))</f>
        <v/>
      </c>
      <c r="BM18" s="6" t="str">
        <f t="array" ref="BM18">IF(ROWS(tblData[[#Headers],[Id]]:tblData[[#This Row],[Id]])-1&gt;$BM$11,"",INDEX(tblData[Id],SMALL(IF(LEN(TRIM(tblData[Surname]))*(tblData[Type]=$BM$9),ROW(tblData[Id])-ROW(tblData[[#Headers],[Id]])),ROWS(tblData[[#Headers],[Id]]:tblData[[#This Row],[Id]])-1)))</f>
        <v/>
      </c>
      <c r="BO18" s="6" t="str">
        <f>IF(ROWS(tblWomenSorted[[#Headers],[Id]]:tblWomenSorted[[#This Row],[Id]])-1&gt;$BO$11,"",SMALL(tblWomen[Id],ROWS(tblWomenSorted[[#Headers],[Id]]:tblWomenSorted[[#This Row],[Id]])-1))</f>
        <v/>
      </c>
      <c r="BP18" s="17"/>
      <c r="BQ18" s="6" t="str">
        <f t="array" ref="BQ18">IF(ROWS(tblData[[#Headers],[Id]]:tblData[[#This Row],[Id]])-1&gt;$BQ$11,"",INDEX(tblData[Id],SMALL(IF(LEN(TRIM(tblData[Surname]))*(tblData[Type]=$BQ$9),ROW(tblData[Id])-ROW(tblData[[#Headers],[Id]])),ROWS(tblData[[#Headers],[Id]]:tblData[[#This Row],[Id]])-1)))</f>
        <v/>
      </c>
      <c r="BS18" s="6" t="str">
        <f>IF(ROWS(tblMenSorted[[#Headers],[Id]]:tblMenSorted[[#This Row],[Id]])-1&gt;$BS$11,"",SMALL(tblMen[Id],ROWS(tblMenSorted[[#Headers],[Id]]:tblMenSorted[[#This Row],[Id]])-1))</f>
        <v/>
      </c>
      <c r="BU18" s="6" t="str">
        <f t="array" ref="BU18">IF(ROWS(tblData[[#Headers],[Sorted Name Id]]:tblData[[#This Row],[Sorted Name Id]])-1&gt;$BU$11,"",INDEX(tblData[Sorted Name Id],SMALL(IF(LEN(TRIM(tblData[Surname]))*(tblData[Visa required]="YES"),ROW(tblData[Sorted Name Id])-ROW(tblData[[#Headers],[Sorted Name Id]])),ROWS(tblData[[#Headers],[Sorted Name Id]]:tblData[[#This Row],[Sorted Name Id]])-1)))</f>
        <v/>
      </c>
      <c r="BW18" s="6" t="str">
        <f>IF(ROWS(tblVisasSorted[[#Headers],[Id]]:tblVisasSorted[[#This Row],[Id]])-1&gt;$BW$11,"",SMALL(tblVisas[Id],ROWS(tblVisasSorted[[#Headers],[Id]]:tblVisasSorted[[#This Row],[Id]])-1))</f>
        <v/>
      </c>
      <c r="BY18" s="6" t="str">
        <f t="array" ref="BY18">IF(ROWS(tblData[[#Headers],[Sorted Arr Id]]:tblData[[#This Row],[Sorted Arr Id]])-1&gt;$BY$11,"",INDEX(tblData[Sorted Arr Id],SMALL(IF(LEN(TRIM(tblData[Surname]))*(tblData[Arr DateTime]&gt;0),ROW(tblData[Sorted Arr Id])-ROW(tblData[[#Headers],[Sorted Arr Id]])),ROWS(tblData[[#Headers],[Sorted Arr Id]]:tblData[[#This Row],[Sorted Arr Id]])-1)))</f>
        <v/>
      </c>
      <c r="CA18" s="6" t="str">
        <f>IF(ROWS(tblArrivalSorted[[#Headers],[Id]]:tblArrivalSorted[[#This Row],[Id]])-1&gt;$CA$11,"",SMALL(tblArrival[Id],ROWS(tblArrivalSorted[[#Headers],[Id]]:tblArrivalSorted[[#This Row],[Id]])-1))</f>
        <v/>
      </c>
      <c r="CC18" s="6" t="str">
        <f t="array" ref="CC18">IF(ROWS(tblData[[#Headers],[Sorted Dep Id]]:tblData[[#This Row],[Sorted Dep Id]])-1&gt;$CC$11,"",INDEX(tblData[Sorted Dep Id],SMALL(IF(LEN(TRIM(tblData[Surname]))*(tblData[Dep DateTime]&gt;0),ROW(tblData[Sorted Dep Id])-ROW(tblData[[#Headers],[Sorted Dep Id]])),ROWS(tblData[[#Headers],[Sorted Dep Id]]:tblData[[#This Row],[Sorted Dep Id]])-1)))</f>
        <v/>
      </c>
      <c r="CE18" s="6" t="str">
        <f>IF(ROWS(tblDepartureSorted[[#Headers],[Id]]:tblDepartureSorted[[#This Row],[Id]])-1&gt;$CE$11,"",SMALL(tblDeparture[Id],ROWS(tblDepartureSorted[[#Headers],[Id]]:tblDepartureSorted[[#This Row],[Id]])-1))</f>
        <v/>
      </c>
      <c r="CG18" s="6" t="str">
        <f t="array" ref="CG18">IF(ROWS(tblData[[#Headers],[Id]]:tblData[[#This Row],[Id]])-1&gt;$CG$11,"",INDEX(tblData[Id],SMALL(IF(LEN(TRIM(tblData[Surname])),ROW(tblData[Id])-ROW(tblData[[#Headers],[Id]])),ROWS(tblData[[#Headers],[Id]]:tblData[[#This Row],[Id]])-1)))</f>
        <v/>
      </c>
    </row>
    <row r="19" spans="1:85" s="6" customFormat="1">
      <c r="A19" s="14">
        <f>IF(ISNUMBER(tblData[[#This Row],[SubType2]]),tblData[[#This Row],[SubType2]]*10000+tblData[[#This Row],[No]],1000000+tblData[[#This Row],[No]])</f>
        <v>1000006</v>
      </c>
      <c r="B19" s="14">
        <f>IFERROR(tblData[[#This Row],[Surname Rang]]*1000+tblData[[#This Row],[Given Name Rang]]+tblData[[#This Row],[No]]/1000,"")</f>
        <v>6.0000000000000001E-3</v>
      </c>
      <c r="C19" s="14">
        <f>IFERROR(tblData[[#This Row],[Arr DateTime Rang]]+tblData[[#This Row],[No]]/1000,"")</f>
        <v>110.006</v>
      </c>
      <c r="D19" s="14">
        <f>IFERROR(tblData[[#This Row],[Dep DateTime Rang]]+tblData[[#This Row],[No]]/1000,"")</f>
        <v>110.006</v>
      </c>
      <c r="E19" s="362">
        <f t="shared" si="1"/>
        <v>6</v>
      </c>
      <c r="F19" s="370"/>
      <c r="G19" s="331"/>
      <c r="H19" s="328"/>
      <c r="I19" s="329"/>
      <c r="J19" s="330"/>
      <c r="K19" s="369"/>
      <c r="L19" s="375"/>
      <c r="M19" s="331"/>
      <c r="N19" s="331"/>
      <c r="O19" s="331"/>
      <c r="P19" s="329"/>
      <c r="Q19" s="376"/>
      <c r="R19" s="383"/>
      <c r="S19" s="332"/>
      <c r="T19" s="331"/>
      <c r="U19" s="333"/>
      <c r="V19" s="333"/>
      <c r="W19" s="384"/>
      <c r="X19" s="383"/>
      <c r="Y19" s="332"/>
      <c r="Z19" s="333"/>
      <c r="AA19" s="331"/>
      <c r="AB19" s="333"/>
      <c r="AC19" s="384"/>
      <c r="AD19" s="375"/>
      <c r="AE19" s="369"/>
      <c r="AF19" s="397"/>
      <c r="AG19" s="328"/>
      <c r="AH19" s="328"/>
      <c r="AI19" s="328"/>
      <c r="AJ19" s="328"/>
      <c r="AK19" s="328"/>
      <c r="AL19" s="328"/>
      <c r="AM19" s="328"/>
      <c r="AN19" s="398"/>
      <c r="AO19" s="402" t="str">
        <f>IF(ISBLANK(tblData[[#This Row],[Surname]]),"",IF(tblData[[#This Row],[Bill Accred Fee]]=0,"NO","YES"))</f>
        <v/>
      </c>
      <c r="AP19" s="406">
        <f>IF(AND(NOT(ISBLANK(tblData[[#This Row],[Surname]])),COUNTA(tblData[[#This Row],[Day 1]:[Day 9]])=0),1,0)</f>
        <v>0</v>
      </c>
      <c r="AQ19" s="406">
        <f>IF(AND(NOT(ISBLANK(tblData[[#This Row],[Surname]])),tblData[[#This Row],[Position]]="Athlete"),1,0)</f>
        <v>0</v>
      </c>
      <c r="AR19" s="433">
        <f>EntryFee*tblData[[#This Row],[Entry Fee Billable]]</f>
        <v>0</v>
      </c>
      <c r="AS19" s="410" t="e">
        <f>IF(ISBLANK(SelectedCategory),"No Cat!",IF(ISBLANK($F19),0,IFERROR(VLOOKUP(AS$12&amp;", "&amp;tblData[[#This Row],[Day 1]],tblAccommodationCosts[],5,FALSE),0)+IFERROR(VLOOKUP(AS$12&amp;", "&amp;tblData[[#This Row],[Day 2]],tblAccommodationCosts[],5,FALSE),0)+IFERROR(VLOOKUP(AS$12&amp;", "&amp;tblData[[#This Row],[Day 3]],tblAccommodationCosts[],5,FALSE),0)+IFERROR(VLOOKUP(AS$12&amp;", "&amp;tblData[[#This Row],[Day 4]],tblAccommodationCosts[],5,FALSE),0)+IFERROR(VLOOKUP(AS$12&amp;", "&amp;tblData[[#This Row],[Day 5]],tblAccommodationCosts[],5,FALSE),0)+IFERROR(VLOOKUP(AS$12&amp;", "&amp;tblData[[#This Row],[Day 6]],tblAccommodationCosts[],5,FALSE),0)+IFERROR(VLOOKUP(AS$12&amp;", "&amp;tblData[[#This Row],[Day 7]],tblAccommodationCosts[],5,FALSE),0)+IFERROR(VLOOKUP(AS$12&amp;", "&amp;tblData[[#This Row],[Day 8]],tblAccommodationCosts[],5,FALSE),0)+IFERROR(VLOOKUP(AS$12&amp;", "&amp;tblData[[#This Row],[Day 9]],tblAccommodationCosts[],5,FALSE),0)+AccreditationFee*tblData[[#This Row],[Bill Accred Fee]]))+tblData[[#This Row],[Entry Fee]]</f>
        <v>#VALUE!</v>
      </c>
      <c r="AT19" s="324" t="str">
        <f>IFERROR(VLOOKUP(tblData[[#This Row],[Weight Category, Function, and Gender]],tblWeightOrFunction[],3,0),"")</f>
        <v/>
      </c>
      <c r="AU19" s="84" t="str">
        <f>IFERROR(VLOOKUP(tblData[[#This Row],[Weight Category, Function, and Gender]],tblWeightOrFunction[],4,0),"")</f>
        <v/>
      </c>
      <c r="AV19" s="85" t="str">
        <f>IFERROR(VLOOKUP(tblData[[#This Row],[Weight Category, Function, and Gender]],tblWeightOrFunction[],7,0),"")</f>
        <v/>
      </c>
      <c r="AW19" s="84" t="str">
        <f>IFERROR(VLOOKUP(tblData[[#This Row],[Weight Category, Function, and Gender]],tblWeightOrFunction[],6,0),"")</f>
        <v/>
      </c>
      <c r="AX19" s="84" t="str">
        <f>IFERROR(VLOOKUP(tblData[[#This Row],[Weight Category, Function, and Gender]],tblWeightOrFunction[],2,0),"")</f>
        <v/>
      </c>
      <c r="AY19" s="75">
        <f>tblData[[#This Row],[Arr Date]]+tblData[[#This Row],[Arr Time]]</f>
        <v>0</v>
      </c>
      <c r="AZ19" s="75">
        <f>tblData[[#This Row],[Dep Date]]+tblData[[#This Row],[Dep Time]]</f>
        <v>0</v>
      </c>
      <c r="BA19" s="72">
        <f>COUNTIF(tblData[Surname],"&lt;="&amp;tblData[Surname])</f>
        <v>0</v>
      </c>
      <c r="BB19" s="72">
        <f>COUNTIF(tblData[Given name],"&lt;="&amp;tblData[Given name])</f>
        <v>0</v>
      </c>
      <c r="BC19" s="72">
        <f>COUNTIF(tblData[Arr DateTime],"&lt;="&amp;tblData[Arr DateTime])</f>
        <v>110</v>
      </c>
      <c r="BD19" s="72">
        <f>COUNTIF(tblData[Dep DateTime],"&lt;="&amp;tblData[Dep DateTime])</f>
        <v>110</v>
      </c>
      <c r="BE19" s="72">
        <f>COUNTIF(tblData[ShuttleAtDeparture],"&lt;="&amp;tblData[ShuttleAtDeparture])</f>
        <v>0</v>
      </c>
      <c r="BI19" s="6" t="str">
        <f t="array" ref="BI19">IF(ROWS(tblData[[#Headers],[Id]]:tblData[[#This Row],[Id]])-1&gt;$BI$11,"",INDEX(tblData[Id],SMALL(IF(LEN(TRIM(tblData[Surname]))*((tblData[Type]=$BI$9)+(tblData[Type]=$BI$10)),ROW(tblData[Id])-ROW(tblData[[#Headers],[Id]])),ROWS(tblData[[#Headers],[Id]]:tblData[[#This Row],[Id]])-1)))</f>
        <v/>
      </c>
      <c r="BK19" s="6" t="str">
        <f>IF(ROWS(tblCoachesAndOfficialsSorted[[#Headers],[Id]]:tblCoachesAndOfficialsSorted[[#This Row],[Id]])-1&gt;$BK$11,"",SMALL(tblCoachesAndOfficials[Id],ROWS(tblCoachesAndOfficialsSorted[[#Headers],[Id]]:tblCoachesAndOfficialsSorted[[#This Row],[Id]])-1))</f>
        <v/>
      </c>
      <c r="BM19" s="6" t="str">
        <f t="array" ref="BM19">IF(ROWS(tblData[[#Headers],[Id]]:tblData[[#This Row],[Id]])-1&gt;$BM$11,"",INDEX(tblData[Id],SMALL(IF(LEN(TRIM(tblData[Surname]))*(tblData[Type]=$BM$9),ROW(tblData[Id])-ROW(tblData[[#Headers],[Id]])),ROWS(tblData[[#Headers],[Id]]:tblData[[#This Row],[Id]])-1)))</f>
        <v/>
      </c>
      <c r="BO19" s="6" t="str">
        <f>IF(ROWS(tblWomenSorted[[#Headers],[Id]]:tblWomenSorted[[#This Row],[Id]])-1&gt;$BO$11,"",SMALL(tblWomen[Id],ROWS(tblWomenSorted[[#Headers],[Id]]:tblWomenSorted[[#This Row],[Id]])-1))</f>
        <v/>
      </c>
      <c r="BP19" s="17"/>
      <c r="BQ19" s="6" t="str">
        <f t="array" ref="BQ19">IF(ROWS(tblData[[#Headers],[Id]]:tblData[[#This Row],[Id]])-1&gt;$BQ$11,"",INDEX(tblData[Id],SMALL(IF(LEN(TRIM(tblData[Surname]))*(tblData[Type]=$BQ$9),ROW(tblData[Id])-ROW(tblData[[#Headers],[Id]])),ROWS(tblData[[#Headers],[Id]]:tblData[[#This Row],[Id]])-1)))</f>
        <v/>
      </c>
      <c r="BS19" s="6" t="str">
        <f>IF(ROWS(tblMenSorted[[#Headers],[Id]]:tblMenSorted[[#This Row],[Id]])-1&gt;$BS$11,"",SMALL(tblMen[Id],ROWS(tblMenSorted[[#Headers],[Id]]:tblMenSorted[[#This Row],[Id]])-1))</f>
        <v/>
      </c>
      <c r="BU19" s="6" t="str">
        <f t="array" ref="BU19">IF(ROWS(tblData[[#Headers],[Sorted Name Id]]:tblData[[#This Row],[Sorted Name Id]])-1&gt;$BU$11,"",INDEX(tblData[Sorted Name Id],SMALL(IF(LEN(TRIM(tblData[Surname]))*(tblData[Visa required]="YES"),ROW(tblData[Sorted Name Id])-ROW(tblData[[#Headers],[Sorted Name Id]])),ROWS(tblData[[#Headers],[Sorted Name Id]]:tblData[[#This Row],[Sorted Name Id]])-1)))</f>
        <v/>
      </c>
      <c r="BW19" s="6" t="str">
        <f>IF(ROWS(tblVisasSorted[[#Headers],[Id]]:tblVisasSorted[[#This Row],[Id]])-1&gt;$BW$11,"",SMALL(tblVisas[Id],ROWS(tblVisasSorted[[#Headers],[Id]]:tblVisasSorted[[#This Row],[Id]])-1))</f>
        <v/>
      </c>
      <c r="BY19" s="6" t="str">
        <f t="array" ref="BY19">IF(ROWS(tblData[[#Headers],[Sorted Arr Id]]:tblData[[#This Row],[Sorted Arr Id]])-1&gt;$BY$11,"",INDEX(tblData[Sorted Arr Id],SMALL(IF(LEN(TRIM(tblData[Surname]))*(tblData[Arr DateTime]&gt;0),ROW(tblData[Sorted Arr Id])-ROW(tblData[[#Headers],[Sorted Arr Id]])),ROWS(tblData[[#Headers],[Sorted Arr Id]]:tblData[[#This Row],[Sorted Arr Id]])-1)))</f>
        <v/>
      </c>
      <c r="CA19" s="6" t="str">
        <f>IF(ROWS(tblArrivalSorted[[#Headers],[Id]]:tblArrivalSorted[[#This Row],[Id]])-1&gt;$CA$11,"",SMALL(tblArrival[Id],ROWS(tblArrivalSorted[[#Headers],[Id]]:tblArrivalSorted[[#This Row],[Id]])-1))</f>
        <v/>
      </c>
      <c r="CC19" s="6" t="str">
        <f t="array" ref="CC19">IF(ROWS(tblData[[#Headers],[Sorted Dep Id]]:tblData[[#This Row],[Sorted Dep Id]])-1&gt;$CC$11,"",INDEX(tblData[Sorted Dep Id],SMALL(IF(LEN(TRIM(tblData[Surname]))*(tblData[Dep DateTime]&gt;0),ROW(tblData[Sorted Dep Id])-ROW(tblData[[#Headers],[Sorted Dep Id]])),ROWS(tblData[[#Headers],[Sorted Dep Id]]:tblData[[#This Row],[Sorted Dep Id]])-1)))</f>
        <v/>
      </c>
      <c r="CE19" s="6" t="str">
        <f>IF(ROWS(tblDepartureSorted[[#Headers],[Id]]:tblDepartureSorted[[#This Row],[Id]])-1&gt;$CE$11,"",SMALL(tblDeparture[Id],ROWS(tblDepartureSorted[[#Headers],[Id]]:tblDepartureSorted[[#This Row],[Id]])-1))</f>
        <v/>
      </c>
      <c r="CG19" s="6" t="str">
        <f t="array" ref="CG19">IF(ROWS(tblData[[#Headers],[Id]]:tblData[[#This Row],[Id]])-1&gt;$CG$11,"",INDEX(tblData[Id],SMALL(IF(LEN(TRIM(tblData[Surname])),ROW(tblData[Id])-ROW(tblData[[#Headers],[Id]])),ROWS(tblData[[#Headers],[Id]]:tblData[[#This Row],[Id]])-1)))</f>
        <v/>
      </c>
    </row>
    <row r="20" spans="1:85" s="6" customFormat="1">
      <c r="A20" s="14">
        <f>IF(ISNUMBER(tblData[[#This Row],[SubType2]]),tblData[[#This Row],[SubType2]]*10000+tblData[[#This Row],[No]],1000000+tblData[[#This Row],[No]])</f>
        <v>1000007</v>
      </c>
      <c r="B20" s="14">
        <f>IFERROR(tblData[[#This Row],[Surname Rang]]*1000+tblData[[#This Row],[Given Name Rang]]+tblData[[#This Row],[No]]/1000,"")</f>
        <v>7.0000000000000001E-3</v>
      </c>
      <c r="C20" s="14">
        <f>IFERROR(tblData[[#This Row],[Arr DateTime Rang]]+tblData[[#This Row],[No]]/1000,"")</f>
        <v>110.00700000000001</v>
      </c>
      <c r="D20" s="14">
        <f>IFERROR(tblData[[#This Row],[Dep DateTime Rang]]+tblData[[#This Row],[No]]/1000,"")</f>
        <v>110.00700000000001</v>
      </c>
      <c r="E20" s="362">
        <f t="shared" si="1"/>
        <v>7</v>
      </c>
      <c r="F20" s="370"/>
      <c r="G20" s="331"/>
      <c r="H20" s="328"/>
      <c r="I20" s="329"/>
      <c r="J20" s="330"/>
      <c r="K20" s="369"/>
      <c r="L20" s="375"/>
      <c r="M20" s="331"/>
      <c r="N20" s="331"/>
      <c r="O20" s="331"/>
      <c r="P20" s="329"/>
      <c r="Q20" s="376"/>
      <c r="R20" s="383"/>
      <c r="S20" s="332"/>
      <c r="T20" s="331"/>
      <c r="U20" s="333"/>
      <c r="V20" s="333"/>
      <c r="W20" s="384"/>
      <c r="X20" s="383"/>
      <c r="Y20" s="332"/>
      <c r="Z20" s="333"/>
      <c r="AA20" s="331"/>
      <c r="AB20" s="333"/>
      <c r="AC20" s="384"/>
      <c r="AD20" s="375"/>
      <c r="AE20" s="369"/>
      <c r="AF20" s="397"/>
      <c r="AG20" s="328"/>
      <c r="AH20" s="328"/>
      <c r="AI20" s="328"/>
      <c r="AJ20" s="328"/>
      <c r="AK20" s="328"/>
      <c r="AL20" s="328"/>
      <c r="AM20" s="328"/>
      <c r="AN20" s="398"/>
      <c r="AO20" s="402" t="str">
        <f>IF(ISBLANK(tblData[[#This Row],[Surname]]),"",IF(tblData[[#This Row],[Bill Accred Fee]]=0,"NO","YES"))</f>
        <v/>
      </c>
      <c r="AP20" s="406">
        <f>IF(AND(NOT(ISBLANK(tblData[[#This Row],[Surname]])),COUNTA(tblData[[#This Row],[Day 1]:[Day 9]])=0),1,0)</f>
        <v>0</v>
      </c>
      <c r="AQ20" s="406">
        <f>IF(AND(NOT(ISBLANK(tblData[[#This Row],[Surname]])),tblData[[#This Row],[Position]]="Athlete"),1,0)</f>
        <v>0</v>
      </c>
      <c r="AR20" s="433">
        <f>EntryFee*tblData[[#This Row],[Entry Fee Billable]]</f>
        <v>0</v>
      </c>
      <c r="AS20" s="410" t="e">
        <f>IF(ISBLANK(SelectedCategory),"No Cat!",IF(ISBLANK($F20),0,IFERROR(VLOOKUP(AS$12&amp;", "&amp;tblData[[#This Row],[Day 1]],tblAccommodationCosts[],5,FALSE),0)+IFERROR(VLOOKUP(AS$12&amp;", "&amp;tblData[[#This Row],[Day 2]],tblAccommodationCosts[],5,FALSE),0)+IFERROR(VLOOKUP(AS$12&amp;", "&amp;tblData[[#This Row],[Day 3]],tblAccommodationCosts[],5,FALSE),0)+IFERROR(VLOOKUP(AS$12&amp;", "&amp;tblData[[#This Row],[Day 4]],tblAccommodationCosts[],5,FALSE),0)+IFERROR(VLOOKUP(AS$12&amp;", "&amp;tblData[[#This Row],[Day 5]],tblAccommodationCosts[],5,FALSE),0)+IFERROR(VLOOKUP(AS$12&amp;", "&amp;tblData[[#This Row],[Day 6]],tblAccommodationCosts[],5,FALSE),0)+IFERROR(VLOOKUP(AS$12&amp;", "&amp;tblData[[#This Row],[Day 7]],tblAccommodationCosts[],5,FALSE),0)+IFERROR(VLOOKUP(AS$12&amp;", "&amp;tblData[[#This Row],[Day 8]],tblAccommodationCosts[],5,FALSE),0)+IFERROR(VLOOKUP(AS$12&amp;", "&amp;tblData[[#This Row],[Day 9]],tblAccommodationCosts[],5,FALSE),0)+AccreditationFee*tblData[[#This Row],[Bill Accred Fee]]))+tblData[[#This Row],[Entry Fee]]</f>
        <v>#VALUE!</v>
      </c>
      <c r="AT20" s="324" t="str">
        <f>IFERROR(VLOOKUP(tblData[[#This Row],[Weight Category, Function, and Gender]],tblWeightOrFunction[],3,0),"")</f>
        <v/>
      </c>
      <c r="AU20" s="84" t="str">
        <f>IFERROR(VLOOKUP(tblData[[#This Row],[Weight Category, Function, and Gender]],tblWeightOrFunction[],4,0),"")</f>
        <v/>
      </c>
      <c r="AV20" s="85" t="str">
        <f>IFERROR(VLOOKUP(tblData[[#This Row],[Weight Category, Function, and Gender]],tblWeightOrFunction[],7,0),"")</f>
        <v/>
      </c>
      <c r="AW20" s="84" t="str">
        <f>IFERROR(VLOOKUP(tblData[[#This Row],[Weight Category, Function, and Gender]],tblWeightOrFunction[],6,0),"")</f>
        <v/>
      </c>
      <c r="AX20" s="84" t="str">
        <f>IFERROR(VLOOKUP(tblData[[#This Row],[Weight Category, Function, and Gender]],tblWeightOrFunction[],2,0),"")</f>
        <v/>
      </c>
      <c r="AY20" s="75">
        <f>tblData[[#This Row],[Arr Date]]+tblData[[#This Row],[Arr Time]]</f>
        <v>0</v>
      </c>
      <c r="AZ20" s="75">
        <f>tblData[[#This Row],[Dep Date]]+tblData[[#This Row],[Dep Time]]</f>
        <v>0</v>
      </c>
      <c r="BA20" s="72">
        <f>COUNTIF(tblData[Surname],"&lt;="&amp;tblData[Surname])</f>
        <v>0</v>
      </c>
      <c r="BB20" s="72">
        <f>COUNTIF(tblData[Given name],"&lt;="&amp;tblData[Given name])</f>
        <v>0</v>
      </c>
      <c r="BC20" s="72">
        <f>COUNTIF(tblData[Arr DateTime],"&lt;="&amp;tblData[Arr DateTime])</f>
        <v>110</v>
      </c>
      <c r="BD20" s="72">
        <f>COUNTIF(tblData[Dep DateTime],"&lt;="&amp;tblData[Dep DateTime])</f>
        <v>110</v>
      </c>
      <c r="BE20" s="72">
        <f>COUNTIF(tblData[ShuttleAtDeparture],"&lt;="&amp;tblData[ShuttleAtDeparture])</f>
        <v>0</v>
      </c>
      <c r="BI20" s="6" t="str">
        <f t="array" ref="BI20">IF(ROWS(tblData[[#Headers],[Id]]:tblData[[#This Row],[Id]])-1&gt;$BI$11,"",INDEX(tblData[Id],SMALL(IF(LEN(TRIM(tblData[Surname]))*((tblData[Type]=$BI$9)+(tblData[Type]=$BI$10)),ROW(tblData[Id])-ROW(tblData[[#Headers],[Id]])),ROWS(tblData[[#Headers],[Id]]:tblData[[#This Row],[Id]])-1)))</f>
        <v/>
      </c>
      <c r="BK20" s="6" t="str">
        <f>IF(ROWS(tblCoachesAndOfficialsSorted[[#Headers],[Id]]:tblCoachesAndOfficialsSorted[[#This Row],[Id]])-1&gt;$BK$11,"",SMALL(tblCoachesAndOfficials[Id],ROWS(tblCoachesAndOfficialsSorted[[#Headers],[Id]]:tblCoachesAndOfficialsSorted[[#This Row],[Id]])-1))</f>
        <v/>
      </c>
      <c r="BM20" s="6" t="str">
        <f t="array" ref="BM20">IF(ROWS(tblData[[#Headers],[Id]]:tblData[[#This Row],[Id]])-1&gt;$BM$11,"",INDEX(tblData[Id],SMALL(IF(LEN(TRIM(tblData[Surname]))*(tblData[Type]=$BM$9),ROW(tblData[Id])-ROW(tblData[[#Headers],[Id]])),ROWS(tblData[[#Headers],[Id]]:tblData[[#This Row],[Id]])-1)))</f>
        <v/>
      </c>
      <c r="BO20" s="6" t="str">
        <f>IF(ROWS(tblWomenSorted[[#Headers],[Id]]:tblWomenSorted[[#This Row],[Id]])-1&gt;$BO$11,"",SMALL(tblWomen[Id],ROWS(tblWomenSorted[[#Headers],[Id]]:tblWomenSorted[[#This Row],[Id]])-1))</f>
        <v/>
      </c>
      <c r="BP20" s="17"/>
      <c r="BQ20" s="6" t="str">
        <f t="array" ref="BQ20">IF(ROWS(tblData[[#Headers],[Id]]:tblData[[#This Row],[Id]])-1&gt;$BQ$11,"",INDEX(tblData[Id],SMALL(IF(LEN(TRIM(tblData[Surname]))*(tblData[Type]=$BQ$9),ROW(tblData[Id])-ROW(tblData[[#Headers],[Id]])),ROWS(tblData[[#Headers],[Id]]:tblData[[#This Row],[Id]])-1)))</f>
        <v/>
      </c>
      <c r="BS20" s="6" t="str">
        <f>IF(ROWS(tblMenSorted[[#Headers],[Id]]:tblMenSorted[[#This Row],[Id]])-1&gt;$BS$11,"",SMALL(tblMen[Id],ROWS(tblMenSorted[[#Headers],[Id]]:tblMenSorted[[#This Row],[Id]])-1))</f>
        <v/>
      </c>
      <c r="BU20" s="6" t="str">
        <f t="array" ref="BU20">IF(ROWS(tblData[[#Headers],[Sorted Name Id]]:tblData[[#This Row],[Sorted Name Id]])-1&gt;$BU$11,"",INDEX(tblData[Sorted Name Id],SMALL(IF(LEN(TRIM(tblData[Surname]))*(tblData[Visa required]="YES"),ROW(tblData[Sorted Name Id])-ROW(tblData[[#Headers],[Sorted Name Id]])),ROWS(tblData[[#Headers],[Sorted Name Id]]:tblData[[#This Row],[Sorted Name Id]])-1)))</f>
        <v/>
      </c>
      <c r="BW20" s="6" t="str">
        <f>IF(ROWS(tblVisasSorted[[#Headers],[Id]]:tblVisasSorted[[#This Row],[Id]])-1&gt;$BW$11,"",SMALL(tblVisas[Id],ROWS(tblVisasSorted[[#Headers],[Id]]:tblVisasSorted[[#This Row],[Id]])-1))</f>
        <v/>
      </c>
      <c r="BY20" s="6" t="str">
        <f t="array" ref="BY20">IF(ROWS(tblData[[#Headers],[Sorted Arr Id]]:tblData[[#This Row],[Sorted Arr Id]])-1&gt;$BY$11,"",INDEX(tblData[Sorted Arr Id],SMALL(IF(LEN(TRIM(tblData[Surname]))*(tblData[Arr DateTime]&gt;0),ROW(tblData[Sorted Arr Id])-ROW(tblData[[#Headers],[Sorted Arr Id]])),ROWS(tblData[[#Headers],[Sorted Arr Id]]:tblData[[#This Row],[Sorted Arr Id]])-1)))</f>
        <v/>
      </c>
      <c r="CA20" s="6" t="str">
        <f>IF(ROWS(tblArrivalSorted[[#Headers],[Id]]:tblArrivalSorted[[#This Row],[Id]])-1&gt;$CA$11,"",SMALL(tblArrival[Id],ROWS(tblArrivalSorted[[#Headers],[Id]]:tblArrivalSorted[[#This Row],[Id]])-1))</f>
        <v/>
      </c>
      <c r="CC20" s="6" t="str">
        <f t="array" ref="CC20">IF(ROWS(tblData[[#Headers],[Sorted Dep Id]]:tblData[[#This Row],[Sorted Dep Id]])-1&gt;$CC$11,"",INDEX(tblData[Sorted Dep Id],SMALL(IF(LEN(TRIM(tblData[Surname]))*(tblData[Dep DateTime]&gt;0),ROW(tblData[Sorted Dep Id])-ROW(tblData[[#Headers],[Sorted Dep Id]])),ROWS(tblData[[#Headers],[Sorted Dep Id]]:tblData[[#This Row],[Sorted Dep Id]])-1)))</f>
        <v/>
      </c>
      <c r="CE20" s="6" t="str">
        <f>IF(ROWS(tblDepartureSorted[[#Headers],[Id]]:tblDepartureSorted[[#This Row],[Id]])-1&gt;$CE$11,"",SMALL(tblDeparture[Id],ROWS(tblDepartureSorted[[#Headers],[Id]]:tblDepartureSorted[[#This Row],[Id]])-1))</f>
        <v/>
      </c>
      <c r="CG20" s="6" t="str">
        <f t="array" ref="CG20">IF(ROWS(tblData[[#Headers],[Id]]:tblData[[#This Row],[Id]])-1&gt;$CG$11,"",INDEX(tblData[Id],SMALL(IF(LEN(TRIM(tblData[Surname])),ROW(tblData[Id])-ROW(tblData[[#Headers],[Id]])),ROWS(tblData[[#Headers],[Id]]:tblData[[#This Row],[Id]])-1)))</f>
        <v/>
      </c>
    </row>
    <row r="21" spans="1:85" s="6" customFormat="1">
      <c r="A21" s="14">
        <f>IF(ISNUMBER(tblData[[#This Row],[SubType2]]),tblData[[#This Row],[SubType2]]*10000+tblData[[#This Row],[No]],1000000+tblData[[#This Row],[No]])</f>
        <v>1000008</v>
      </c>
      <c r="B21" s="14">
        <f>IFERROR(tblData[[#This Row],[Surname Rang]]*1000+tblData[[#This Row],[Given Name Rang]]+tblData[[#This Row],[No]]/1000,"")</f>
        <v>8.0000000000000002E-3</v>
      </c>
      <c r="C21" s="14">
        <f>IFERROR(tblData[[#This Row],[Arr DateTime Rang]]+tblData[[#This Row],[No]]/1000,"")</f>
        <v>110.008</v>
      </c>
      <c r="D21" s="14">
        <f>IFERROR(tblData[[#This Row],[Dep DateTime Rang]]+tblData[[#This Row],[No]]/1000,"")</f>
        <v>110.008</v>
      </c>
      <c r="E21" s="362">
        <f t="shared" si="1"/>
        <v>8</v>
      </c>
      <c r="F21" s="370"/>
      <c r="G21" s="331"/>
      <c r="H21" s="328"/>
      <c r="I21" s="329"/>
      <c r="J21" s="330"/>
      <c r="K21" s="369"/>
      <c r="L21" s="375"/>
      <c r="M21" s="331"/>
      <c r="N21" s="331"/>
      <c r="O21" s="331"/>
      <c r="P21" s="329"/>
      <c r="Q21" s="376"/>
      <c r="R21" s="383"/>
      <c r="S21" s="332"/>
      <c r="T21" s="331"/>
      <c r="U21" s="333"/>
      <c r="V21" s="333"/>
      <c r="W21" s="384"/>
      <c r="X21" s="383"/>
      <c r="Y21" s="332"/>
      <c r="Z21" s="333"/>
      <c r="AA21" s="331"/>
      <c r="AB21" s="333"/>
      <c r="AC21" s="384"/>
      <c r="AD21" s="375"/>
      <c r="AE21" s="369"/>
      <c r="AF21" s="397"/>
      <c r="AG21" s="328"/>
      <c r="AH21" s="328"/>
      <c r="AI21" s="328"/>
      <c r="AJ21" s="328"/>
      <c r="AK21" s="328"/>
      <c r="AL21" s="328"/>
      <c r="AM21" s="328"/>
      <c r="AN21" s="398"/>
      <c r="AO21" s="402" t="str">
        <f>IF(ISBLANK(tblData[[#This Row],[Surname]]),"",IF(tblData[[#This Row],[Bill Accred Fee]]=0,"NO","YES"))</f>
        <v/>
      </c>
      <c r="AP21" s="406">
        <f>IF(AND(NOT(ISBLANK(tblData[[#This Row],[Surname]])),COUNTA(tblData[[#This Row],[Day 1]:[Day 9]])=0),1,0)</f>
        <v>0</v>
      </c>
      <c r="AQ21" s="406">
        <f>IF(AND(NOT(ISBLANK(tblData[[#This Row],[Surname]])),tblData[[#This Row],[Position]]="Athlete"),1,0)</f>
        <v>0</v>
      </c>
      <c r="AR21" s="433">
        <f>EntryFee*tblData[[#This Row],[Entry Fee Billable]]</f>
        <v>0</v>
      </c>
      <c r="AS21" s="410" t="e">
        <f>IF(ISBLANK(SelectedCategory),"No Cat!",IF(ISBLANK($F21),0,IFERROR(VLOOKUP(AS$12&amp;", "&amp;tblData[[#This Row],[Day 1]],tblAccommodationCosts[],5,FALSE),0)+IFERROR(VLOOKUP(AS$12&amp;", "&amp;tblData[[#This Row],[Day 2]],tblAccommodationCosts[],5,FALSE),0)+IFERROR(VLOOKUP(AS$12&amp;", "&amp;tblData[[#This Row],[Day 3]],tblAccommodationCosts[],5,FALSE),0)+IFERROR(VLOOKUP(AS$12&amp;", "&amp;tblData[[#This Row],[Day 4]],tblAccommodationCosts[],5,FALSE),0)+IFERROR(VLOOKUP(AS$12&amp;", "&amp;tblData[[#This Row],[Day 5]],tblAccommodationCosts[],5,FALSE),0)+IFERROR(VLOOKUP(AS$12&amp;", "&amp;tblData[[#This Row],[Day 6]],tblAccommodationCosts[],5,FALSE),0)+IFERROR(VLOOKUP(AS$12&amp;", "&amp;tblData[[#This Row],[Day 7]],tblAccommodationCosts[],5,FALSE),0)+IFERROR(VLOOKUP(AS$12&amp;", "&amp;tblData[[#This Row],[Day 8]],tblAccommodationCosts[],5,FALSE),0)+IFERROR(VLOOKUP(AS$12&amp;", "&amp;tblData[[#This Row],[Day 9]],tblAccommodationCosts[],5,FALSE),0)+AccreditationFee*tblData[[#This Row],[Bill Accred Fee]]))+tblData[[#This Row],[Entry Fee]]</f>
        <v>#VALUE!</v>
      </c>
      <c r="AT21" s="324" t="str">
        <f>IFERROR(VLOOKUP(tblData[[#This Row],[Weight Category, Function, and Gender]],tblWeightOrFunction[],3,0),"")</f>
        <v/>
      </c>
      <c r="AU21" s="84" t="str">
        <f>IFERROR(VLOOKUP(tblData[[#This Row],[Weight Category, Function, and Gender]],tblWeightOrFunction[],4,0),"")</f>
        <v/>
      </c>
      <c r="AV21" s="85" t="str">
        <f>IFERROR(VLOOKUP(tblData[[#This Row],[Weight Category, Function, and Gender]],tblWeightOrFunction[],7,0),"")</f>
        <v/>
      </c>
      <c r="AW21" s="84" t="str">
        <f>IFERROR(VLOOKUP(tblData[[#This Row],[Weight Category, Function, and Gender]],tblWeightOrFunction[],6,0),"")</f>
        <v/>
      </c>
      <c r="AX21" s="84" t="str">
        <f>IFERROR(VLOOKUP(tblData[[#This Row],[Weight Category, Function, and Gender]],tblWeightOrFunction[],2,0),"")</f>
        <v/>
      </c>
      <c r="AY21" s="75">
        <f>tblData[[#This Row],[Arr Date]]+tblData[[#This Row],[Arr Time]]</f>
        <v>0</v>
      </c>
      <c r="AZ21" s="75">
        <f>tblData[[#This Row],[Dep Date]]+tblData[[#This Row],[Dep Time]]</f>
        <v>0</v>
      </c>
      <c r="BA21" s="72">
        <f>COUNTIF(tblData[Surname],"&lt;="&amp;tblData[Surname])</f>
        <v>0</v>
      </c>
      <c r="BB21" s="72">
        <f>COUNTIF(tblData[Given name],"&lt;="&amp;tblData[Given name])</f>
        <v>0</v>
      </c>
      <c r="BC21" s="72">
        <f>COUNTIF(tblData[Arr DateTime],"&lt;="&amp;tblData[Arr DateTime])</f>
        <v>110</v>
      </c>
      <c r="BD21" s="72">
        <f>COUNTIF(tblData[Dep DateTime],"&lt;="&amp;tblData[Dep DateTime])</f>
        <v>110</v>
      </c>
      <c r="BE21" s="72">
        <f>COUNTIF(tblData[ShuttleAtDeparture],"&lt;="&amp;tblData[ShuttleAtDeparture])</f>
        <v>0</v>
      </c>
      <c r="BI21" s="6" t="str">
        <f t="array" ref="BI21">IF(ROWS(tblData[[#Headers],[Id]]:tblData[[#This Row],[Id]])-1&gt;$BI$11,"",INDEX(tblData[Id],SMALL(IF(LEN(TRIM(tblData[Surname]))*((tblData[Type]=$BI$9)+(tblData[Type]=$BI$10)),ROW(tblData[Id])-ROW(tblData[[#Headers],[Id]])),ROWS(tblData[[#Headers],[Id]]:tblData[[#This Row],[Id]])-1)))</f>
        <v/>
      </c>
      <c r="BK21" s="6" t="str">
        <f>IF(ROWS(tblCoachesAndOfficialsSorted[[#Headers],[Id]]:tblCoachesAndOfficialsSorted[[#This Row],[Id]])-1&gt;$BK$11,"",SMALL(tblCoachesAndOfficials[Id],ROWS(tblCoachesAndOfficialsSorted[[#Headers],[Id]]:tblCoachesAndOfficialsSorted[[#This Row],[Id]])-1))</f>
        <v/>
      </c>
      <c r="BM21" s="6" t="str">
        <f t="array" ref="BM21">IF(ROWS(tblData[[#Headers],[Id]]:tblData[[#This Row],[Id]])-1&gt;$BM$11,"",INDEX(tblData[Id],SMALL(IF(LEN(TRIM(tblData[Surname]))*(tblData[Type]=$BM$9),ROW(tblData[Id])-ROW(tblData[[#Headers],[Id]])),ROWS(tblData[[#Headers],[Id]]:tblData[[#This Row],[Id]])-1)))</f>
        <v/>
      </c>
      <c r="BO21" s="6" t="str">
        <f>IF(ROWS(tblWomenSorted[[#Headers],[Id]]:tblWomenSorted[[#This Row],[Id]])-1&gt;$BO$11,"",SMALL(tblWomen[Id],ROWS(tblWomenSorted[[#Headers],[Id]]:tblWomenSorted[[#This Row],[Id]])-1))</f>
        <v/>
      </c>
      <c r="BP21" s="17"/>
      <c r="BQ21" s="6" t="str">
        <f t="array" ref="BQ21">IF(ROWS(tblData[[#Headers],[Id]]:tblData[[#This Row],[Id]])-1&gt;$BQ$11,"",INDEX(tblData[Id],SMALL(IF(LEN(TRIM(tblData[Surname]))*(tblData[Type]=$BQ$9),ROW(tblData[Id])-ROW(tblData[[#Headers],[Id]])),ROWS(tblData[[#Headers],[Id]]:tblData[[#This Row],[Id]])-1)))</f>
        <v/>
      </c>
      <c r="BS21" s="6" t="str">
        <f>IF(ROWS(tblMenSorted[[#Headers],[Id]]:tblMenSorted[[#This Row],[Id]])-1&gt;$BS$11,"",SMALL(tblMen[Id],ROWS(tblMenSorted[[#Headers],[Id]]:tblMenSorted[[#This Row],[Id]])-1))</f>
        <v/>
      </c>
      <c r="BU21" s="6" t="str">
        <f t="array" ref="BU21">IF(ROWS(tblData[[#Headers],[Sorted Name Id]]:tblData[[#This Row],[Sorted Name Id]])-1&gt;$BU$11,"",INDEX(tblData[Sorted Name Id],SMALL(IF(LEN(TRIM(tblData[Surname]))*(tblData[Visa required]="YES"),ROW(tblData[Sorted Name Id])-ROW(tblData[[#Headers],[Sorted Name Id]])),ROWS(tblData[[#Headers],[Sorted Name Id]]:tblData[[#This Row],[Sorted Name Id]])-1)))</f>
        <v/>
      </c>
      <c r="BW21" s="6" t="str">
        <f>IF(ROWS(tblVisasSorted[[#Headers],[Id]]:tblVisasSorted[[#This Row],[Id]])-1&gt;$BW$11,"",SMALL(tblVisas[Id],ROWS(tblVisasSorted[[#Headers],[Id]]:tblVisasSorted[[#This Row],[Id]])-1))</f>
        <v/>
      </c>
      <c r="BY21" s="6" t="str">
        <f t="array" ref="BY21">IF(ROWS(tblData[[#Headers],[Sorted Arr Id]]:tblData[[#This Row],[Sorted Arr Id]])-1&gt;$BY$11,"",INDEX(tblData[Sorted Arr Id],SMALL(IF(LEN(TRIM(tblData[Surname]))*(tblData[Arr DateTime]&gt;0),ROW(tblData[Sorted Arr Id])-ROW(tblData[[#Headers],[Sorted Arr Id]])),ROWS(tblData[[#Headers],[Sorted Arr Id]]:tblData[[#This Row],[Sorted Arr Id]])-1)))</f>
        <v/>
      </c>
      <c r="CA21" s="6" t="str">
        <f>IF(ROWS(tblArrivalSorted[[#Headers],[Id]]:tblArrivalSorted[[#This Row],[Id]])-1&gt;$CA$11,"",SMALL(tblArrival[Id],ROWS(tblArrivalSorted[[#Headers],[Id]]:tblArrivalSorted[[#This Row],[Id]])-1))</f>
        <v/>
      </c>
      <c r="CC21" s="6" t="str">
        <f t="array" ref="CC21">IF(ROWS(tblData[[#Headers],[Sorted Dep Id]]:tblData[[#This Row],[Sorted Dep Id]])-1&gt;$CC$11,"",INDEX(tblData[Sorted Dep Id],SMALL(IF(LEN(TRIM(tblData[Surname]))*(tblData[Dep DateTime]&gt;0),ROW(tblData[Sorted Dep Id])-ROW(tblData[[#Headers],[Sorted Dep Id]])),ROWS(tblData[[#Headers],[Sorted Dep Id]]:tblData[[#This Row],[Sorted Dep Id]])-1)))</f>
        <v/>
      </c>
      <c r="CE21" s="6" t="str">
        <f>IF(ROWS(tblDepartureSorted[[#Headers],[Id]]:tblDepartureSorted[[#This Row],[Id]])-1&gt;$CE$11,"",SMALL(tblDeparture[Id],ROWS(tblDepartureSorted[[#Headers],[Id]]:tblDepartureSorted[[#This Row],[Id]])-1))</f>
        <v/>
      </c>
      <c r="CG21" s="6" t="str">
        <f t="array" ref="CG21">IF(ROWS(tblData[[#Headers],[Id]]:tblData[[#This Row],[Id]])-1&gt;$CG$11,"",INDEX(tblData[Id],SMALL(IF(LEN(TRIM(tblData[Surname])),ROW(tblData[Id])-ROW(tblData[[#Headers],[Id]])),ROWS(tblData[[#Headers],[Id]]:tblData[[#This Row],[Id]])-1)))</f>
        <v/>
      </c>
    </row>
    <row r="22" spans="1:85" s="6" customFormat="1">
      <c r="A22" s="14">
        <f>IF(ISNUMBER(tblData[[#This Row],[SubType2]]),tblData[[#This Row],[SubType2]]*10000+tblData[[#This Row],[No]],1000000+tblData[[#This Row],[No]])</f>
        <v>1000009</v>
      </c>
      <c r="B22" s="14">
        <f>IFERROR(tblData[[#This Row],[Surname Rang]]*1000+tblData[[#This Row],[Given Name Rang]]+tblData[[#This Row],[No]]/1000,"")</f>
        <v>8.9999999999999993E-3</v>
      </c>
      <c r="C22" s="14">
        <f>IFERROR(tblData[[#This Row],[Arr DateTime Rang]]+tblData[[#This Row],[No]]/1000,"")</f>
        <v>110.009</v>
      </c>
      <c r="D22" s="14">
        <f>IFERROR(tblData[[#This Row],[Dep DateTime Rang]]+tblData[[#This Row],[No]]/1000,"")</f>
        <v>110.009</v>
      </c>
      <c r="E22" s="362">
        <f t="shared" si="1"/>
        <v>9</v>
      </c>
      <c r="F22" s="370"/>
      <c r="G22" s="331"/>
      <c r="H22" s="328"/>
      <c r="I22" s="329"/>
      <c r="J22" s="330"/>
      <c r="K22" s="369"/>
      <c r="L22" s="375"/>
      <c r="M22" s="331"/>
      <c r="N22" s="331"/>
      <c r="O22" s="331"/>
      <c r="P22" s="329"/>
      <c r="Q22" s="376"/>
      <c r="R22" s="383"/>
      <c r="S22" s="332"/>
      <c r="T22" s="331"/>
      <c r="U22" s="333"/>
      <c r="V22" s="333"/>
      <c r="W22" s="384"/>
      <c r="X22" s="383"/>
      <c r="Y22" s="332"/>
      <c r="Z22" s="333"/>
      <c r="AA22" s="331"/>
      <c r="AB22" s="333"/>
      <c r="AC22" s="384"/>
      <c r="AD22" s="375"/>
      <c r="AE22" s="369"/>
      <c r="AF22" s="397"/>
      <c r="AG22" s="328"/>
      <c r="AH22" s="328"/>
      <c r="AI22" s="328"/>
      <c r="AJ22" s="328"/>
      <c r="AK22" s="328"/>
      <c r="AL22" s="328"/>
      <c r="AM22" s="328"/>
      <c r="AN22" s="398"/>
      <c r="AO22" s="402" t="str">
        <f>IF(ISBLANK(tblData[[#This Row],[Surname]]),"",IF(tblData[[#This Row],[Bill Accred Fee]]=0,"NO","YES"))</f>
        <v/>
      </c>
      <c r="AP22" s="406">
        <f>IF(AND(NOT(ISBLANK(tblData[[#This Row],[Surname]])),COUNTA(tblData[[#This Row],[Day 1]:[Day 9]])=0),1,0)</f>
        <v>0</v>
      </c>
      <c r="AQ22" s="406">
        <f>IF(AND(NOT(ISBLANK(tblData[[#This Row],[Surname]])),tblData[[#This Row],[Position]]="Athlete"),1,0)</f>
        <v>0</v>
      </c>
      <c r="AR22" s="433">
        <f>EntryFee*tblData[[#This Row],[Entry Fee Billable]]</f>
        <v>0</v>
      </c>
      <c r="AS22" s="410" t="e">
        <f>IF(ISBLANK(SelectedCategory),"No Cat!",IF(ISBLANK($F22),0,IFERROR(VLOOKUP(AS$12&amp;", "&amp;tblData[[#This Row],[Day 1]],tblAccommodationCosts[],5,FALSE),0)+IFERROR(VLOOKUP(AS$12&amp;", "&amp;tblData[[#This Row],[Day 2]],tblAccommodationCosts[],5,FALSE),0)+IFERROR(VLOOKUP(AS$12&amp;", "&amp;tblData[[#This Row],[Day 3]],tblAccommodationCosts[],5,FALSE),0)+IFERROR(VLOOKUP(AS$12&amp;", "&amp;tblData[[#This Row],[Day 4]],tblAccommodationCosts[],5,FALSE),0)+IFERROR(VLOOKUP(AS$12&amp;", "&amp;tblData[[#This Row],[Day 5]],tblAccommodationCosts[],5,FALSE),0)+IFERROR(VLOOKUP(AS$12&amp;", "&amp;tblData[[#This Row],[Day 6]],tblAccommodationCosts[],5,FALSE),0)+IFERROR(VLOOKUP(AS$12&amp;", "&amp;tblData[[#This Row],[Day 7]],tblAccommodationCosts[],5,FALSE),0)+IFERROR(VLOOKUP(AS$12&amp;", "&amp;tblData[[#This Row],[Day 8]],tblAccommodationCosts[],5,FALSE),0)+IFERROR(VLOOKUP(AS$12&amp;", "&amp;tblData[[#This Row],[Day 9]],tblAccommodationCosts[],5,FALSE),0)+AccreditationFee*tblData[[#This Row],[Bill Accred Fee]]))+tblData[[#This Row],[Entry Fee]]</f>
        <v>#VALUE!</v>
      </c>
      <c r="AT22" s="324" t="str">
        <f>IFERROR(VLOOKUP(tblData[[#This Row],[Weight Category, Function, and Gender]],tblWeightOrFunction[],3,0),"")</f>
        <v/>
      </c>
      <c r="AU22" s="84" t="str">
        <f>IFERROR(VLOOKUP(tblData[[#This Row],[Weight Category, Function, and Gender]],tblWeightOrFunction[],4,0),"")</f>
        <v/>
      </c>
      <c r="AV22" s="85" t="str">
        <f>IFERROR(VLOOKUP(tblData[[#This Row],[Weight Category, Function, and Gender]],tblWeightOrFunction[],7,0),"")</f>
        <v/>
      </c>
      <c r="AW22" s="84" t="str">
        <f>IFERROR(VLOOKUP(tblData[[#This Row],[Weight Category, Function, and Gender]],tblWeightOrFunction[],6,0),"")</f>
        <v/>
      </c>
      <c r="AX22" s="84" t="str">
        <f>IFERROR(VLOOKUP(tblData[[#This Row],[Weight Category, Function, and Gender]],tblWeightOrFunction[],2,0),"")</f>
        <v/>
      </c>
      <c r="AY22" s="75">
        <f>tblData[[#This Row],[Arr Date]]+tblData[[#This Row],[Arr Time]]</f>
        <v>0</v>
      </c>
      <c r="AZ22" s="75">
        <f>tblData[[#This Row],[Dep Date]]+tblData[[#This Row],[Dep Time]]</f>
        <v>0</v>
      </c>
      <c r="BA22" s="72">
        <f>COUNTIF(tblData[Surname],"&lt;="&amp;tblData[Surname])</f>
        <v>0</v>
      </c>
      <c r="BB22" s="72">
        <f>COUNTIF(tblData[Given name],"&lt;="&amp;tblData[Given name])</f>
        <v>0</v>
      </c>
      <c r="BC22" s="72">
        <f>COUNTIF(tblData[Arr DateTime],"&lt;="&amp;tblData[Arr DateTime])</f>
        <v>110</v>
      </c>
      <c r="BD22" s="72">
        <f>COUNTIF(tblData[Dep DateTime],"&lt;="&amp;tblData[Dep DateTime])</f>
        <v>110</v>
      </c>
      <c r="BE22" s="72">
        <f>COUNTIF(tblData[ShuttleAtDeparture],"&lt;="&amp;tblData[ShuttleAtDeparture])</f>
        <v>0</v>
      </c>
      <c r="BI22" s="6" t="str">
        <f t="array" ref="BI22">IF(ROWS(tblData[[#Headers],[Id]]:tblData[[#This Row],[Id]])-1&gt;$BI$11,"",INDEX(tblData[Id],SMALL(IF(LEN(TRIM(tblData[Surname]))*((tblData[Type]=$BI$9)+(tblData[Type]=$BI$10)),ROW(tblData[Id])-ROW(tblData[[#Headers],[Id]])),ROWS(tblData[[#Headers],[Id]]:tblData[[#This Row],[Id]])-1)))</f>
        <v/>
      </c>
      <c r="BK22" s="6" t="str">
        <f>IF(ROWS(tblCoachesAndOfficialsSorted[[#Headers],[Id]]:tblCoachesAndOfficialsSorted[[#This Row],[Id]])-1&gt;$BK$11,"",SMALL(tblCoachesAndOfficials[Id],ROWS(tblCoachesAndOfficialsSorted[[#Headers],[Id]]:tblCoachesAndOfficialsSorted[[#This Row],[Id]])-1))</f>
        <v/>
      </c>
      <c r="BM22" s="6" t="str">
        <f t="array" ref="BM22">IF(ROWS(tblData[[#Headers],[Id]]:tblData[[#This Row],[Id]])-1&gt;$BM$11,"",INDEX(tblData[Id],SMALL(IF(LEN(TRIM(tblData[Surname]))*(tblData[Type]=$BM$9),ROW(tblData[Id])-ROW(tblData[[#Headers],[Id]])),ROWS(tblData[[#Headers],[Id]]:tblData[[#This Row],[Id]])-1)))</f>
        <v/>
      </c>
      <c r="BO22" s="6" t="str">
        <f>IF(ROWS(tblWomenSorted[[#Headers],[Id]]:tblWomenSorted[[#This Row],[Id]])-1&gt;$BO$11,"",SMALL(tblWomen[Id],ROWS(tblWomenSorted[[#Headers],[Id]]:tblWomenSorted[[#This Row],[Id]])-1))</f>
        <v/>
      </c>
      <c r="BP22" s="17"/>
      <c r="BQ22" s="6" t="str">
        <f t="array" ref="BQ22">IF(ROWS(tblData[[#Headers],[Id]]:tblData[[#This Row],[Id]])-1&gt;$BQ$11,"",INDEX(tblData[Id],SMALL(IF(LEN(TRIM(tblData[Surname]))*(tblData[Type]=$BQ$9),ROW(tblData[Id])-ROW(tblData[[#Headers],[Id]])),ROWS(tblData[[#Headers],[Id]]:tblData[[#This Row],[Id]])-1)))</f>
        <v/>
      </c>
      <c r="BS22" s="6" t="str">
        <f>IF(ROWS(tblMenSorted[[#Headers],[Id]]:tblMenSorted[[#This Row],[Id]])-1&gt;$BS$11,"",SMALL(tblMen[Id],ROWS(tblMenSorted[[#Headers],[Id]]:tblMenSorted[[#This Row],[Id]])-1))</f>
        <v/>
      </c>
      <c r="BU22" s="6" t="str">
        <f t="array" ref="BU22">IF(ROWS(tblData[[#Headers],[Sorted Name Id]]:tblData[[#This Row],[Sorted Name Id]])-1&gt;$BU$11,"",INDEX(tblData[Sorted Name Id],SMALL(IF(LEN(TRIM(tblData[Surname]))*(tblData[Visa required]="YES"),ROW(tblData[Sorted Name Id])-ROW(tblData[[#Headers],[Sorted Name Id]])),ROWS(tblData[[#Headers],[Sorted Name Id]]:tblData[[#This Row],[Sorted Name Id]])-1)))</f>
        <v/>
      </c>
      <c r="BW22" s="6" t="str">
        <f>IF(ROWS(tblVisasSorted[[#Headers],[Id]]:tblVisasSorted[[#This Row],[Id]])-1&gt;$BW$11,"",SMALL(tblVisas[Id],ROWS(tblVisasSorted[[#Headers],[Id]]:tblVisasSorted[[#This Row],[Id]])-1))</f>
        <v/>
      </c>
      <c r="BY22" s="6" t="str">
        <f t="array" ref="BY22">IF(ROWS(tblData[[#Headers],[Sorted Arr Id]]:tblData[[#This Row],[Sorted Arr Id]])-1&gt;$BY$11,"",INDEX(tblData[Sorted Arr Id],SMALL(IF(LEN(TRIM(tblData[Surname]))*(tblData[Arr DateTime]&gt;0),ROW(tblData[Sorted Arr Id])-ROW(tblData[[#Headers],[Sorted Arr Id]])),ROWS(tblData[[#Headers],[Sorted Arr Id]]:tblData[[#This Row],[Sorted Arr Id]])-1)))</f>
        <v/>
      </c>
      <c r="CA22" s="6" t="str">
        <f>IF(ROWS(tblArrivalSorted[[#Headers],[Id]]:tblArrivalSorted[[#This Row],[Id]])-1&gt;$CA$11,"",SMALL(tblArrival[Id],ROWS(tblArrivalSorted[[#Headers],[Id]]:tblArrivalSorted[[#This Row],[Id]])-1))</f>
        <v/>
      </c>
      <c r="CC22" s="6" t="str">
        <f t="array" ref="CC22">IF(ROWS(tblData[[#Headers],[Sorted Dep Id]]:tblData[[#This Row],[Sorted Dep Id]])-1&gt;$CC$11,"",INDEX(tblData[Sorted Dep Id],SMALL(IF(LEN(TRIM(tblData[Surname]))*(tblData[Dep DateTime]&gt;0),ROW(tblData[Sorted Dep Id])-ROW(tblData[[#Headers],[Sorted Dep Id]])),ROWS(tblData[[#Headers],[Sorted Dep Id]]:tblData[[#This Row],[Sorted Dep Id]])-1)))</f>
        <v/>
      </c>
      <c r="CE22" s="6" t="str">
        <f>IF(ROWS(tblDepartureSorted[[#Headers],[Id]]:tblDepartureSorted[[#This Row],[Id]])-1&gt;$CE$11,"",SMALL(tblDeparture[Id],ROWS(tblDepartureSorted[[#Headers],[Id]]:tblDepartureSorted[[#This Row],[Id]])-1))</f>
        <v/>
      </c>
      <c r="CG22" s="6" t="str">
        <f t="array" ref="CG22">IF(ROWS(tblData[[#Headers],[Id]]:tblData[[#This Row],[Id]])-1&gt;$CG$11,"",INDEX(tblData[Id],SMALL(IF(LEN(TRIM(tblData[Surname])),ROW(tblData[Id])-ROW(tblData[[#Headers],[Id]])),ROWS(tblData[[#Headers],[Id]]:tblData[[#This Row],[Id]])-1)))</f>
        <v/>
      </c>
    </row>
    <row r="23" spans="1:85" s="6" customFormat="1">
      <c r="A23" s="14">
        <f>IF(ISNUMBER(tblData[[#This Row],[SubType2]]),tblData[[#This Row],[SubType2]]*10000+tblData[[#This Row],[No]],1000000+tblData[[#This Row],[No]])</f>
        <v>1000010</v>
      </c>
      <c r="B23" s="14">
        <f>IFERROR(tblData[[#This Row],[Surname Rang]]*1000+tblData[[#This Row],[Given Name Rang]]+tblData[[#This Row],[No]]/1000,"")</f>
        <v>0.01</v>
      </c>
      <c r="C23" s="14">
        <f>IFERROR(tblData[[#This Row],[Arr DateTime Rang]]+tblData[[#This Row],[No]]/1000,"")</f>
        <v>110.01</v>
      </c>
      <c r="D23" s="14">
        <f>IFERROR(tblData[[#This Row],[Dep DateTime Rang]]+tblData[[#This Row],[No]]/1000,"")</f>
        <v>110.01</v>
      </c>
      <c r="E23" s="362">
        <f t="shared" si="1"/>
        <v>10</v>
      </c>
      <c r="F23" s="370"/>
      <c r="G23" s="331"/>
      <c r="H23" s="328"/>
      <c r="I23" s="329"/>
      <c r="J23" s="330"/>
      <c r="K23" s="369"/>
      <c r="L23" s="375"/>
      <c r="M23" s="331"/>
      <c r="N23" s="331"/>
      <c r="O23" s="331"/>
      <c r="P23" s="329"/>
      <c r="Q23" s="376"/>
      <c r="R23" s="383"/>
      <c r="S23" s="332"/>
      <c r="T23" s="331"/>
      <c r="U23" s="333"/>
      <c r="V23" s="333"/>
      <c r="W23" s="384"/>
      <c r="X23" s="383"/>
      <c r="Y23" s="332"/>
      <c r="Z23" s="331"/>
      <c r="AA23" s="331"/>
      <c r="AB23" s="333"/>
      <c r="AC23" s="384"/>
      <c r="AD23" s="375"/>
      <c r="AE23" s="369"/>
      <c r="AF23" s="397"/>
      <c r="AG23" s="328"/>
      <c r="AH23" s="328"/>
      <c r="AI23" s="328"/>
      <c r="AJ23" s="328"/>
      <c r="AK23" s="328"/>
      <c r="AL23" s="328"/>
      <c r="AM23" s="328"/>
      <c r="AN23" s="398"/>
      <c r="AO23" s="402" t="str">
        <f>IF(ISBLANK(tblData[[#This Row],[Surname]]),"",IF(tblData[[#This Row],[Bill Accred Fee]]=0,"NO","YES"))</f>
        <v/>
      </c>
      <c r="AP23" s="406">
        <f>IF(AND(NOT(ISBLANK(tblData[[#This Row],[Surname]])),COUNTA(tblData[[#This Row],[Day 1]:[Day 9]])=0),1,0)</f>
        <v>0</v>
      </c>
      <c r="AQ23" s="406">
        <f>IF(AND(NOT(ISBLANK(tblData[[#This Row],[Surname]])),tblData[[#This Row],[Position]]="Athlete"),1,0)</f>
        <v>0</v>
      </c>
      <c r="AR23" s="433">
        <f>EntryFee*tblData[[#This Row],[Entry Fee Billable]]</f>
        <v>0</v>
      </c>
      <c r="AS23" s="410" t="e">
        <f>IF(ISBLANK(SelectedCategory),"No Cat!",IF(ISBLANK($F23),0,IFERROR(VLOOKUP(AS$12&amp;", "&amp;tblData[[#This Row],[Day 1]],tblAccommodationCosts[],5,FALSE),0)+IFERROR(VLOOKUP(AS$12&amp;", "&amp;tblData[[#This Row],[Day 2]],tblAccommodationCosts[],5,FALSE),0)+IFERROR(VLOOKUP(AS$12&amp;", "&amp;tblData[[#This Row],[Day 3]],tblAccommodationCosts[],5,FALSE),0)+IFERROR(VLOOKUP(AS$12&amp;", "&amp;tblData[[#This Row],[Day 4]],tblAccommodationCosts[],5,FALSE),0)+IFERROR(VLOOKUP(AS$12&amp;", "&amp;tblData[[#This Row],[Day 5]],tblAccommodationCosts[],5,FALSE),0)+IFERROR(VLOOKUP(AS$12&amp;", "&amp;tblData[[#This Row],[Day 6]],tblAccommodationCosts[],5,FALSE),0)+IFERROR(VLOOKUP(AS$12&amp;", "&amp;tblData[[#This Row],[Day 7]],tblAccommodationCosts[],5,FALSE),0)+IFERROR(VLOOKUP(AS$12&amp;", "&amp;tblData[[#This Row],[Day 8]],tblAccommodationCosts[],5,FALSE),0)+IFERROR(VLOOKUP(AS$12&amp;", "&amp;tblData[[#This Row],[Day 9]],tblAccommodationCosts[],5,FALSE),0)+AccreditationFee*tblData[[#This Row],[Bill Accred Fee]]))+tblData[[#This Row],[Entry Fee]]</f>
        <v>#VALUE!</v>
      </c>
      <c r="AT23" s="324" t="str">
        <f>IFERROR(VLOOKUP(tblData[[#This Row],[Weight Category, Function, and Gender]],tblWeightOrFunction[],3,0),"")</f>
        <v/>
      </c>
      <c r="AU23" s="84" t="str">
        <f>IFERROR(VLOOKUP(tblData[[#This Row],[Weight Category, Function, and Gender]],tblWeightOrFunction[],4,0),"")</f>
        <v/>
      </c>
      <c r="AV23" s="85" t="str">
        <f>IFERROR(VLOOKUP(tblData[[#This Row],[Weight Category, Function, and Gender]],tblWeightOrFunction[],7,0),"")</f>
        <v/>
      </c>
      <c r="AW23" s="84" t="str">
        <f>IFERROR(VLOOKUP(tblData[[#This Row],[Weight Category, Function, and Gender]],tblWeightOrFunction[],6,0),"")</f>
        <v/>
      </c>
      <c r="AX23" s="84" t="str">
        <f>IFERROR(VLOOKUP(tblData[[#This Row],[Weight Category, Function, and Gender]],tblWeightOrFunction[],2,0),"")</f>
        <v/>
      </c>
      <c r="AY23" s="75">
        <f>tblData[[#This Row],[Arr Date]]+tblData[[#This Row],[Arr Time]]</f>
        <v>0</v>
      </c>
      <c r="AZ23" s="75">
        <f>tblData[[#This Row],[Dep Date]]+tblData[[#This Row],[Dep Time]]</f>
        <v>0</v>
      </c>
      <c r="BA23" s="72">
        <f>COUNTIF(tblData[Surname],"&lt;="&amp;tblData[Surname])</f>
        <v>0</v>
      </c>
      <c r="BB23" s="72">
        <f>COUNTIF(tblData[Given name],"&lt;="&amp;tblData[Given name])</f>
        <v>0</v>
      </c>
      <c r="BC23" s="72">
        <f>COUNTIF(tblData[Arr DateTime],"&lt;="&amp;tblData[Arr DateTime])</f>
        <v>110</v>
      </c>
      <c r="BD23" s="72">
        <f>COUNTIF(tblData[Dep DateTime],"&lt;="&amp;tblData[Dep DateTime])</f>
        <v>110</v>
      </c>
      <c r="BE23" s="72">
        <f>COUNTIF(tblData[ShuttleAtDeparture],"&lt;="&amp;tblData[ShuttleAtDeparture])</f>
        <v>0</v>
      </c>
      <c r="BI23" s="6" t="str">
        <f t="array" ref="BI23">IF(ROWS(tblData[[#Headers],[Id]]:tblData[[#This Row],[Id]])-1&gt;$BI$11,"",INDEX(tblData[Id],SMALL(IF(LEN(TRIM(tblData[Surname]))*((tblData[Type]=$BI$9)+(tblData[Type]=$BI$10)),ROW(tblData[Id])-ROW(tblData[[#Headers],[Id]])),ROWS(tblData[[#Headers],[Id]]:tblData[[#This Row],[Id]])-1)))</f>
        <v/>
      </c>
      <c r="BK23" s="6" t="str">
        <f>IF(ROWS(tblCoachesAndOfficialsSorted[[#Headers],[Id]]:tblCoachesAndOfficialsSorted[[#This Row],[Id]])-1&gt;$BK$11,"",SMALL(tblCoachesAndOfficials[Id],ROWS(tblCoachesAndOfficialsSorted[[#Headers],[Id]]:tblCoachesAndOfficialsSorted[[#This Row],[Id]])-1))</f>
        <v/>
      </c>
      <c r="BM23" s="6" t="str">
        <f t="array" ref="BM23">IF(ROWS(tblData[[#Headers],[Id]]:tblData[[#This Row],[Id]])-1&gt;$BM$11,"",INDEX(tblData[Id],SMALL(IF(LEN(TRIM(tblData[Surname]))*(tblData[Type]=$BM$9),ROW(tblData[Id])-ROW(tblData[[#Headers],[Id]])),ROWS(tblData[[#Headers],[Id]]:tblData[[#This Row],[Id]])-1)))</f>
        <v/>
      </c>
      <c r="BO23" s="6" t="str">
        <f>IF(ROWS(tblWomenSorted[[#Headers],[Id]]:tblWomenSorted[[#This Row],[Id]])-1&gt;$BO$11,"",SMALL(tblWomen[Id],ROWS(tblWomenSorted[[#Headers],[Id]]:tblWomenSorted[[#This Row],[Id]])-1))</f>
        <v/>
      </c>
      <c r="BP23" s="17"/>
      <c r="BQ23" s="6" t="str">
        <f t="array" ref="BQ23">IF(ROWS(tblData[[#Headers],[Id]]:tblData[[#This Row],[Id]])-1&gt;$BQ$11,"",INDEX(tblData[Id],SMALL(IF(LEN(TRIM(tblData[Surname]))*(tblData[Type]=$BQ$9),ROW(tblData[Id])-ROW(tblData[[#Headers],[Id]])),ROWS(tblData[[#Headers],[Id]]:tblData[[#This Row],[Id]])-1)))</f>
        <v/>
      </c>
      <c r="BS23" s="6" t="str">
        <f>IF(ROWS(tblMenSorted[[#Headers],[Id]]:tblMenSorted[[#This Row],[Id]])-1&gt;$BS$11,"",SMALL(tblMen[Id],ROWS(tblMenSorted[[#Headers],[Id]]:tblMenSorted[[#This Row],[Id]])-1))</f>
        <v/>
      </c>
      <c r="BU23" s="6" t="str">
        <f t="array" ref="BU23">IF(ROWS(tblData[[#Headers],[Sorted Name Id]]:tblData[[#This Row],[Sorted Name Id]])-1&gt;$BU$11,"",INDEX(tblData[Sorted Name Id],SMALL(IF(LEN(TRIM(tblData[Surname]))*(tblData[Visa required]="YES"),ROW(tblData[Sorted Name Id])-ROW(tblData[[#Headers],[Sorted Name Id]])),ROWS(tblData[[#Headers],[Sorted Name Id]]:tblData[[#This Row],[Sorted Name Id]])-1)))</f>
        <v/>
      </c>
      <c r="BW23" s="6" t="str">
        <f>IF(ROWS(tblVisasSorted[[#Headers],[Id]]:tblVisasSorted[[#This Row],[Id]])-1&gt;$BW$11,"",SMALL(tblVisas[Id],ROWS(tblVisasSorted[[#Headers],[Id]]:tblVisasSorted[[#This Row],[Id]])-1))</f>
        <v/>
      </c>
      <c r="BY23" s="6" t="str">
        <f t="array" ref="BY23">IF(ROWS(tblData[[#Headers],[Sorted Arr Id]]:tblData[[#This Row],[Sorted Arr Id]])-1&gt;$BY$11,"",INDEX(tblData[Sorted Arr Id],SMALL(IF(LEN(TRIM(tblData[Surname]))*(tblData[Arr DateTime]&gt;0),ROW(tblData[Sorted Arr Id])-ROW(tblData[[#Headers],[Sorted Arr Id]])),ROWS(tblData[[#Headers],[Sorted Arr Id]]:tblData[[#This Row],[Sorted Arr Id]])-1)))</f>
        <v/>
      </c>
      <c r="CA23" s="6" t="str">
        <f>IF(ROWS(tblArrivalSorted[[#Headers],[Id]]:tblArrivalSorted[[#This Row],[Id]])-1&gt;$CA$11,"",SMALL(tblArrival[Id],ROWS(tblArrivalSorted[[#Headers],[Id]]:tblArrivalSorted[[#This Row],[Id]])-1))</f>
        <v/>
      </c>
      <c r="CC23" s="6" t="str">
        <f t="array" ref="CC23">IF(ROWS(tblData[[#Headers],[Sorted Dep Id]]:tblData[[#This Row],[Sorted Dep Id]])-1&gt;$CC$11,"",INDEX(tblData[Sorted Dep Id],SMALL(IF(LEN(TRIM(tblData[Surname]))*(tblData[Dep DateTime]&gt;0),ROW(tblData[Sorted Dep Id])-ROW(tblData[[#Headers],[Sorted Dep Id]])),ROWS(tblData[[#Headers],[Sorted Dep Id]]:tblData[[#This Row],[Sorted Dep Id]])-1)))</f>
        <v/>
      </c>
      <c r="CE23" s="6" t="str">
        <f>IF(ROWS(tblDepartureSorted[[#Headers],[Id]]:tblDepartureSorted[[#This Row],[Id]])-1&gt;$CE$11,"",SMALL(tblDeparture[Id],ROWS(tblDepartureSorted[[#Headers],[Id]]:tblDepartureSorted[[#This Row],[Id]])-1))</f>
        <v/>
      </c>
      <c r="CG23" s="6" t="str">
        <f t="array" ref="CG23">IF(ROWS(tblData[[#Headers],[Id]]:tblData[[#This Row],[Id]])-1&gt;$CG$11,"",INDEX(tblData[Id],SMALL(IF(LEN(TRIM(tblData[Surname])),ROW(tblData[Id])-ROW(tblData[[#Headers],[Id]])),ROWS(tblData[[#Headers],[Id]]:tblData[[#This Row],[Id]])-1)))</f>
        <v/>
      </c>
    </row>
    <row r="24" spans="1:85" s="6" customFormat="1">
      <c r="A24" s="14">
        <f>IF(ISNUMBER(tblData[[#This Row],[SubType2]]),tblData[[#This Row],[SubType2]]*10000+tblData[[#This Row],[No]],1000000+tblData[[#This Row],[No]])</f>
        <v>1000011</v>
      </c>
      <c r="B24" s="14">
        <f>IFERROR(tblData[[#This Row],[Surname Rang]]*1000+tblData[[#This Row],[Given Name Rang]]+tblData[[#This Row],[No]]/1000,"")</f>
        <v>1.0999999999999999E-2</v>
      </c>
      <c r="C24" s="14">
        <f>IFERROR(tblData[[#This Row],[Arr DateTime Rang]]+tblData[[#This Row],[No]]/1000,"")</f>
        <v>110.011</v>
      </c>
      <c r="D24" s="14">
        <f>IFERROR(tblData[[#This Row],[Dep DateTime Rang]]+tblData[[#This Row],[No]]/1000,"")</f>
        <v>110.011</v>
      </c>
      <c r="E24" s="362">
        <f t="shared" si="1"/>
        <v>11</v>
      </c>
      <c r="F24" s="370"/>
      <c r="G24" s="331"/>
      <c r="H24" s="328"/>
      <c r="I24" s="329"/>
      <c r="J24" s="330"/>
      <c r="K24" s="369"/>
      <c r="L24" s="375"/>
      <c r="M24" s="331"/>
      <c r="N24" s="331"/>
      <c r="O24" s="331"/>
      <c r="P24" s="329"/>
      <c r="Q24" s="376"/>
      <c r="R24" s="383"/>
      <c r="S24" s="332"/>
      <c r="T24" s="331"/>
      <c r="U24" s="333"/>
      <c r="V24" s="333"/>
      <c r="W24" s="384"/>
      <c r="X24" s="383"/>
      <c r="Y24" s="332"/>
      <c r="Z24" s="331"/>
      <c r="AA24" s="331"/>
      <c r="AB24" s="333"/>
      <c r="AC24" s="384"/>
      <c r="AD24" s="375"/>
      <c r="AE24" s="369"/>
      <c r="AF24" s="397"/>
      <c r="AG24" s="328"/>
      <c r="AH24" s="328"/>
      <c r="AI24" s="328"/>
      <c r="AJ24" s="328"/>
      <c r="AK24" s="328"/>
      <c r="AL24" s="328"/>
      <c r="AM24" s="328"/>
      <c r="AN24" s="398"/>
      <c r="AO24" s="402" t="str">
        <f>IF(ISBLANK(tblData[[#This Row],[Surname]]),"",IF(tblData[[#This Row],[Bill Accred Fee]]=0,"NO","YES"))</f>
        <v/>
      </c>
      <c r="AP24" s="406">
        <f>IF(AND(NOT(ISBLANK(tblData[[#This Row],[Surname]])),COUNTA(tblData[[#This Row],[Day 1]:[Day 9]])=0),1,0)</f>
        <v>0</v>
      </c>
      <c r="AQ24" s="406">
        <f>IF(AND(NOT(ISBLANK(tblData[[#This Row],[Surname]])),tblData[[#This Row],[Position]]="Athlete"),1,0)</f>
        <v>0</v>
      </c>
      <c r="AR24" s="433">
        <f>EntryFee*tblData[[#This Row],[Entry Fee Billable]]</f>
        <v>0</v>
      </c>
      <c r="AS24" s="410" t="e">
        <f>IF(ISBLANK(SelectedCategory),"No Cat!",IF(ISBLANK($F24),0,IFERROR(VLOOKUP(AS$12&amp;", "&amp;tblData[[#This Row],[Day 1]],tblAccommodationCosts[],5,FALSE),0)+IFERROR(VLOOKUP(AS$12&amp;", "&amp;tblData[[#This Row],[Day 2]],tblAccommodationCosts[],5,FALSE),0)+IFERROR(VLOOKUP(AS$12&amp;", "&amp;tblData[[#This Row],[Day 3]],tblAccommodationCosts[],5,FALSE),0)+IFERROR(VLOOKUP(AS$12&amp;", "&amp;tblData[[#This Row],[Day 4]],tblAccommodationCosts[],5,FALSE),0)+IFERROR(VLOOKUP(AS$12&amp;", "&amp;tblData[[#This Row],[Day 5]],tblAccommodationCosts[],5,FALSE),0)+IFERROR(VLOOKUP(AS$12&amp;", "&amp;tblData[[#This Row],[Day 6]],tblAccommodationCosts[],5,FALSE),0)+IFERROR(VLOOKUP(AS$12&amp;", "&amp;tblData[[#This Row],[Day 7]],tblAccommodationCosts[],5,FALSE),0)+IFERROR(VLOOKUP(AS$12&amp;", "&amp;tblData[[#This Row],[Day 8]],tblAccommodationCosts[],5,FALSE),0)+IFERROR(VLOOKUP(AS$12&amp;", "&amp;tblData[[#This Row],[Day 9]],tblAccommodationCosts[],5,FALSE),0)+AccreditationFee*tblData[[#This Row],[Bill Accred Fee]]))+tblData[[#This Row],[Entry Fee]]</f>
        <v>#VALUE!</v>
      </c>
      <c r="AT24" s="324" t="str">
        <f>IFERROR(VLOOKUP(tblData[[#This Row],[Weight Category, Function, and Gender]],tblWeightOrFunction[],3,0),"")</f>
        <v/>
      </c>
      <c r="AU24" s="84" t="str">
        <f>IFERROR(VLOOKUP(tblData[[#This Row],[Weight Category, Function, and Gender]],tblWeightOrFunction[],4,0),"")</f>
        <v/>
      </c>
      <c r="AV24" s="85" t="str">
        <f>IFERROR(VLOOKUP(tblData[[#This Row],[Weight Category, Function, and Gender]],tblWeightOrFunction[],7,0),"")</f>
        <v/>
      </c>
      <c r="AW24" s="84" t="str">
        <f>IFERROR(VLOOKUP(tblData[[#This Row],[Weight Category, Function, and Gender]],tblWeightOrFunction[],6,0),"")</f>
        <v/>
      </c>
      <c r="AX24" s="84" t="str">
        <f>IFERROR(VLOOKUP(tblData[[#This Row],[Weight Category, Function, and Gender]],tblWeightOrFunction[],2,0),"")</f>
        <v/>
      </c>
      <c r="AY24" s="75">
        <f>tblData[[#This Row],[Arr Date]]+tblData[[#This Row],[Arr Time]]</f>
        <v>0</v>
      </c>
      <c r="AZ24" s="75">
        <f>tblData[[#This Row],[Dep Date]]+tblData[[#This Row],[Dep Time]]</f>
        <v>0</v>
      </c>
      <c r="BA24" s="72">
        <f>COUNTIF(tblData[Surname],"&lt;="&amp;tblData[Surname])</f>
        <v>0</v>
      </c>
      <c r="BB24" s="72">
        <f>COUNTIF(tblData[Given name],"&lt;="&amp;tblData[Given name])</f>
        <v>0</v>
      </c>
      <c r="BC24" s="72">
        <f>COUNTIF(tblData[Arr DateTime],"&lt;="&amp;tblData[Arr DateTime])</f>
        <v>110</v>
      </c>
      <c r="BD24" s="72">
        <f>COUNTIF(tblData[Dep DateTime],"&lt;="&amp;tblData[Dep DateTime])</f>
        <v>110</v>
      </c>
      <c r="BE24" s="72">
        <f>COUNTIF(tblData[ShuttleAtDeparture],"&lt;="&amp;tblData[ShuttleAtDeparture])</f>
        <v>0</v>
      </c>
      <c r="BI24" s="6" t="str">
        <f t="array" ref="BI24">IF(ROWS(tblData[[#Headers],[Id]]:tblData[[#This Row],[Id]])-1&gt;$BI$11,"",INDEX(tblData[Id],SMALL(IF(LEN(TRIM(tblData[Surname]))*((tblData[Type]=$BI$9)+(tblData[Type]=$BI$10)),ROW(tblData[Id])-ROW(tblData[[#Headers],[Id]])),ROWS(tblData[[#Headers],[Id]]:tblData[[#This Row],[Id]])-1)))</f>
        <v/>
      </c>
      <c r="BK24" s="6" t="str">
        <f>IF(ROWS(tblCoachesAndOfficialsSorted[[#Headers],[Id]]:tblCoachesAndOfficialsSorted[[#This Row],[Id]])-1&gt;$BK$11,"",SMALL(tblCoachesAndOfficials[Id],ROWS(tblCoachesAndOfficialsSorted[[#Headers],[Id]]:tblCoachesAndOfficialsSorted[[#This Row],[Id]])-1))</f>
        <v/>
      </c>
      <c r="BM24" s="6" t="str">
        <f t="array" ref="BM24">IF(ROWS(tblData[[#Headers],[Id]]:tblData[[#This Row],[Id]])-1&gt;$BM$11,"",INDEX(tblData[Id],SMALL(IF(LEN(TRIM(tblData[Surname]))*(tblData[Type]=$BM$9),ROW(tblData[Id])-ROW(tblData[[#Headers],[Id]])),ROWS(tblData[[#Headers],[Id]]:tblData[[#This Row],[Id]])-1)))</f>
        <v/>
      </c>
      <c r="BO24" s="6" t="str">
        <f>IF(ROWS(tblWomenSorted[[#Headers],[Id]]:tblWomenSorted[[#This Row],[Id]])-1&gt;$BO$11,"",SMALL(tblWomen[Id],ROWS(tblWomenSorted[[#Headers],[Id]]:tblWomenSorted[[#This Row],[Id]])-1))</f>
        <v/>
      </c>
      <c r="BP24" s="17"/>
      <c r="BQ24" s="6" t="str">
        <f t="array" ref="BQ24">IF(ROWS(tblData[[#Headers],[Id]]:tblData[[#This Row],[Id]])-1&gt;$BQ$11,"",INDEX(tblData[Id],SMALL(IF(LEN(TRIM(tblData[Surname]))*(tblData[Type]=$BQ$9),ROW(tblData[Id])-ROW(tblData[[#Headers],[Id]])),ROWS(tblData[[#Headers],[Id]]:tblData[[#This Row],[Id]])-1)))</f>
        <v/>
      </c>
      <c r="BS24" s="6" t="str">
        <f>IF(ROWS(tblMenSorted[[#Headers],[Id]]:tblMenSorted[[#This Row],[Id]])-1&gt;$BS$11,"",SMALL(tblMen[Id],ROWS(tblMenSorted[[#Headers],[Id]]:tblMenSorted[[#This Row],[Id]])-1))</f>
        <v/>
      </c>
      <c r="BU24" s="6" t="str">
        <f t="array" ref="BU24">IF(ROWS(tblData[[#Headers],[Sorted Name Id]]:tblData[[#This Row],[Sorted Name Id]])-1&gt;$BU$11,"",INDEX(tblData[Sorted Name Id],SMALL(IF(LEN(TRIM(tblData[Surname]))*(tblData[Visa required]="YES"),ROW(tblData[Sorted Name Id])-ROW(tblData[[#Headers],[Sorted Name Id]])),ROWS(tblData[[#Headers],[Sorted Name Id]]:tblData[[#This Row],[Sorted Name Id]])-1)))</f>
        <v/>
      </c>
      <c r="BW24" s="6" t="str">
        <f>IF(ROWS(tblVisasSorted[[#Headers],[Id]]:tblVisasSorted[[#This Row],[Id]])-1&gt;$BW$11,"",SMALL(tblVisas[Id],ROWS(tblVisasSorted[[#Headers],[Id]]:tblVisasSorted[[#This Row],[Id]])-1))</f>
        <v/>
      </c>
      <c r="BY24" s="6" t="str">
        <f t="array" ref="BY24">IF(ROWS(tblData[[#Headers],[Sorted Arr Id]]:tblData[[#This Row],[Sorted Arr Id]])-1&gt;$BY$11,"",INDEX(tblData[Sorted Arr Id],SMALL(IF(LEN(TRIM(tblData[Surname]))*(tblData[Arr DateTime]&gt;0),ROW(tblData[Sorted Arr Id])-ROW(tblData[[#Headers],[Sorted Arr Id]])),ROWS(tblData[[#Headers],[Sorted Arr Id]]:tblData[[#This Row],[Sorted Arr Id]])-1)))</f>
        <v/>
      </c>
      <c r="CA24" s="6" t="str">
        <f>IF(ROWS(tblArrivalSorted[[#Headers],[Id]]:tblArrivalSorted[[#This Row],[Id]])-1&gt;$CA$11,"",SMALL(tblArrival[Id],ROWS(tblArrivalSorted[[#Headers],[Id]]:tblArrivalSorted[[#This Row],[Id]])-1))</f>
        <v/>
      </c>
      <c r="CC24" s="6" t="str">
        <f t="array" ref="CC24">IF(ROWS(tblData[[#Headers],[Sorted Dep Id]]:tblData[[#This Row],[Sorted Dep Id]])-1&gt;$CC$11,"",INDEX(tblData[Sorted Dep Id],SMALL(IF(LEN(TRIM(tblData[Surname]))*(tblData[Dep DateTime]&gt;0),ROW(tblData[Sorted Dep Id])-ROW(tblData[[#Headers],[Sorted Dep Id]])),ROWS(tblData[[#Headers],[Sorted Dep Id]]:tblData[[#This Row],[Sorted Dep Id]])-1)))</f>
        <v/>
      </c>
      <c r="CE24" s="6" t="str">
        <f>IF(ROWS(tblDepartureSorted[[#Headers],[Id]]:tblDepartureSorted[[#This Row],[Id]])-1&gt;$CE$11,"",SMALL(tblDeparture[Id],ROWS(tblDepartureSorted[[#Headers],[Id]]:tblDepartureSorted[[#This Row],[Id]])-1))</f>
        <v/>
      </c>
      <c r="CG24" s="6" t="str">
        <f t="array" ref="CG24">IF(ROWS(tblData[[#Headers],[Id]]:tblData[[#This Row],[Id]])-1&gt;$CG$11,"",INDEX(tblData[Id],SMALL(IF(LEN(TRIM(tblData[Surname])),ROW(tblData[Id])-ROW(tblData[[#Headers],[Id]])),ROWS(tblData[[#Headers],[Id]]:tblData[[#This Row],[Id]])-1)))</f>
        <v/>
      </c>
    </row>
    <row r="25" spans="1:85" s="6" customFormat="1">
      <c r="A25" s="14">
        <f>IF(ISNUMBER(tblData[[#This Row],[SubType2]]),tblData[[#This Row],[SubType2]]*10000+tblData[[#This Row],[No]],1000000+tblData[[#This Row],[No]])</f>
        <v>1000012</v>
      </c>
      <c r="B25" s="14">
        <f>IFERROR(tblData[[#This Row],[Surname Rang]]*1000+tblData[[#This Row],[Given Name Rang]]+tblData[[#This Row],[No]]/1000,"")</f>
        <v>1.2E-2</v>
      </c>
      <c r="C25" s="14">
        <f>IFERROR(tblData[[#This Row],[Arr DateTime Rang]]+tblData[[#This Row],[No]]/1000,"")</f>
        <v>110.012</v>
      </c>
      <c r="D25" s="14">
        <f>IFERROR(tblData[[#This Row],[Dep DateTime Rang]]+tblData[[#This Row],[No]]/1000,"")</f>
        <v>110.012</v>
      </c>
      <c r="E25" s="362">
        <f t="shared" si="1"/>
        <v>12</v>
      </c>
      <c r="F25" s="370"/>
      <c r="G25" s="331"/>
      <c r="H25" s="328"/>
      <c r="I25" s="329"/>
      <c r="J25" s="330"/>
      <c r="K25" s="369"/>
      <c r="L25" s="375"/>
      <c r="M25" s="331"/>
      <c r="N25" s="331"/>
      <c r="O25" s="331"/>
      <c r="P25" s="329"/>
      <c r="Q25" s="376"/>
      <c r="R25" s="383"/>
      <c r="S25" s="332"/>
      <c r="T25" s="331"/>
      <c r="U25" s="333"/>
      <c r="V25" s="333"/>
      <c r="W25" s="384"/>
      <c r="X25" s="383"/>
      <c r="Y25" s="332"/>
      <c r="Z25" s="331"/>
      <c r="AA25" s="331"/>
      <c r="AB25" s="333"/>
      <c r="AC25" s="384"/>
      <c r="AD25" s="375"/>
      <c r="AE25" s="369"/>
      <c r="AF25" s="397"/>
      <c r="AG25" s="328"/>
      <c r="AH25" s="328"/>
      <c r="AI25" s="328"/>
      <c r="AJ25" s="328"/>
      <c r="AK25" s="328"/>
      <c r="AL25" s="328"/>
      <c r="AM25" s="328"/>
      <c r="AN25" s="398"/>
      <c r="AO25" s="402" t="str">
        <f>IF(ISBLANK(tblData[[#This Row],[Surname]]),"",IF(tblData[[#This Row],[Bill Accred Fee]]=0,"NO","YES"))</f>
        <v/>
      </c>
      <c r="AP25" s="406">
        <f>IF(AND(NOT(ISBLANK(tblData[[#This Row],[Surname]])),COUNTA(tblData[[#This Row],[Day 1]:[Day 9]])=0),1,0)</f>
        <v>0</v>
      </c>
      <c r="AQ25" s="406">
        <f>IF(AND(NOT(ISBLANK(tblData[[#This Row],[Surname]])),tblData[[#This Row],[Position]]="Athlete"),1,0)</f>
        <v>0</v>
      </c>
      <c r="AR25" s="433">
        <f>EntryFee*tblData[[#This Row],[Entry Fee Billable]]</f>
        <v>0</v>
      </c>
      <c r="AS25" s="410" t="e">
        <f>IF(ISBLANK(SelectedCategory),"No Cat!",IF(ISBLANK($F25),0,IFERROR(VLOOKUP(AS$12&amp;", "&amp;tblData[[#This Row],[Day 1]],tblAccommodationCosts[],5,FALSE),0)+IFERROR(VLOOKUP(AS$12&amp;", "&amp;tblData[[#This Row],[Day 2]],tblAccommodationCosts[],5,FALSE),0)+IFERROR(VLOOKUP(AS$12&amp;", "&amp;tblData[[#This Row],[Day 3]],tblAccommodationCosts[],5,FALSE),0)+IFERROR(VLOOKUP(AS$12&amp;", "&amp;tblData[[#This Row],[Day 4]],tblAccommodationCosts[],5,FALSE),0)+IFERROR(VLOOKUP(AS$12&amp;", "&amp;tblData[[#This Row],[Day 5]],tblAccommodationCosts[],5,FALSE),0)+IFERROR(VLOOKUP(AS$12&amp;", "&amp;tblData[[#This Row],[Day 6]],tblAccommodationCosts[],5,FALSE),0)+IFERROR(VLOOKUP(AS$12&amp;", "&amp;tblData[[#This Row],[Day 7]],tblAccommodationCosts[],5,FALSE),0)+IFERROR(VLOOKUP(AS$12&amp;", "&amp;tblData[[#This Row],[Day 8]],tblAccommodationCosts[],5,FALSE),0)+IFERROR(VLOOKUP(AS$12&amp;", "&amp;tblData[[#This Row],[Day 9]],tblAccommodationCosts[],5,FALSE),0)+AccreditationFee*tblData[[#This Row],[Bill Accred Fee]]))+tblData[[#This Row],[Entry Fee]]</f>
        <v>#VALUE!</v>
      </c>
      <c r="AT25" s="324" t="str">
        <f>IFERROR(VLOOKUP(tblData[[#This Row],[Weight Category, Function, and Gender]],tblWeightOrFunction[],3,0),"")</f>
        <v/>
      </c>
      <c r="AU25" s="84" t="str">
        <f>IFERROR(VLOOKUP(tblData[[#This Row],[Weight Category, Function, and Gender]],tblWeightOrFunction[],4,0),"")</f>
        <v/>
      </c>
      <c r="AV25" s="85" t="str">
        <f>IFERROR(VLOOKUP(tblData[[#This Row],[Weight Category, Function, and Gender]],tblWeightOrFunction[],7,0),"")</f>
        <v/>
      </c>
      <c r="AW25" s="84" t="str">
        <f>IFERROR(VLOOKUP(tblData[[#This Row],[Weight Category, Function, and Gender]],tblWeightOrFunction[],6,0),"")</f>
        <v/>
      </c>
      <c r="AX25" s="84" t="str">
        <f>IFERROR(VLOOKUP(tblData[[#This Row],[Weight Category, Function, and Gender]],tblWeightOrFunction[],2,0),"")</f>
        <v/>
      </c>
      <c r="AY25" s="75">
        <f>tblData[[#This Row],[Arr Date]]+tblData[[#This Row],[Arr Time]]</f>
        <v>0</v>
      </c>
      <c r="AZ25" s="75">
        <f>tblData[[#This Row],[Dep Date]]+tblData[[#This Row],[Dep Time]]</f>
        <v>0</v>
      </c>
      <c r="BA25" s="72">
        <f>COUNTIF(tblData[Surname],"&lt;="&amp;tblData[Surname])</f>
        <v>0</v>
      </c>
      <c r="BB25" s="72">
        <f>COUNTIF(tblData[Given name],"&lt;="&amp;tblData[Given name])</f>
        <v>0</v>
      </c>
      <c r="BC25" s="72">
        <f>COUNTIF(tblData[Arr DateTime],"&lt;="&amp;tblData[Arr DateTime])</f>
        <v>110</v>
      </c>
      <c r="BD25" s="72">
        <f>COUNTIF(tblData[Dep DateTime],"&lt;="&amp;tblData[Dep DateTime])</f>
        <v>110</v>
      </c>
      <c r="BE25" s="72">
        <f>COUNTIF(tblData[ShuttleAtDeparture],"&lt;="&amp;tblData[ShuttleAtDeparture])</f>
        <v>0</v>
      </c>
      <c r="BI25" s="6" t="str">
        <f t="array" ref="BI25">IF(ROWS(tblData[[#Headers],[Id]]:tblData[[#This Row],[Id]])-1&gt;$BI$11,"",INDEX(tblData[Id],SMALL(IF(LEN(TRIM(tblData[Surname]))*((tblData[Type]=$BI$9)+(tblData[Type]=$BI$10)),ROW(tblData[Id])-ROW(tblData[[#Headers],[Id]])),ROWS(tblData[[#Headers],[Id]]:tblData[[#This Row],[Id]])-1)))</f>
        <v/>
      </c>
      <c r="BK25" s="6" t="str">
        <f>IF(ROWS(tblCoachesAndOfficialsSorted[[#Headers],[Id]]:tblCoachesAndOfficialsSorted[[#This Row],[Id]])-1&gt;$BK$11,"",SMALL(tblCoachesAndOfficials[Id],ROWS(tblCoachesAndOfficialsSorted[[#Headers],[Id]]:tblCoachesAndOfficialsSorted[[#This Row],[Id]])-1))</f>
        <v/>
      </c>
      <c r="BM25" s="6" t="str">
        <f t="array" ref="BM25">IF(ROWS(tblData[[#Headers],[Id]]:tblData[[#This Row],[Id]])-1&gt;$BM$11,"",INDEX(tblData[Id],SMALL(IF(LEN(TRIM(tblData[Surname]))*(tblData[Type]=$BM$9),ROW(tblData[Id])-ROW(tblData[[#Headers],[Id]])),ROWS(tblData[[#Headers],[Id]]:tblData[[#This Row],[Id]])-1)))</f>
        <v/>
      </c>
      <c r="BO25" s="6" t="str">
        <f>IF(ROWS(tblWomenSorted[[#Headers],[Id]]:tblWomenSorted[[#This Row],[Id]])-1&gt;$BO$11,"",SMALL(tblWomen[Id],ROWS(tblWomenSorted[[#Headers],[Id]]:tblWomenSorted[[#This Row],[Id]])-1))</f>
        <v/>
      </c>
      <c r="BP25" s="17"/>
      <c r="BQ25" s="6" t="str">
        <f t="array" ref="BQ25">IF(ROWS(tblData[[#Headers],[Id]]:tblData[[#This Row],[Id]])-1&gt;$BQ$11,"",INDEX(tblData[Id],SMALL(IF(LEN(TRIM(tblData[Surname]))*(tblData[Type]=$BQ$9),ROW(tblData[Id])-ROW(tblData[[#Headers],[Id]])),ROWS(tblData[[#Headers],[Id]]:tblData[[#This Row],[Id]])-1)))</f>
        <v/>
      </c>
      <c r="BS25" s="6" t="str">
        <f>IF(ROWS(tblMenSorted[[#Headers],[Id]]:tblMenSorted[[#This Row],[Id]])-1&gt;$BS$11,"",SMALL(tblMen[Id],ROWS(tblMenSorted[[#Headers],[Id]]:tblMenSorted[[#This Row],[Id]])-1))</f>
        <v/>
      </c>
      <c r="BU25" s="6" t="str">
        <f t="array" ref="BU25">IF(ROWS(tblData[[#Headers],[Sorted Name Id]]:tblData[[#This Row],[Sorted Name Id]])-1&gt;$BU$11,"",INDEX(tblData[Sorted Name Id],SMALL(IF(LEN(TRIM(tblData[Surname]))*(tblData[Visa required]="YES"),ROW(tblData[Sorted Name Id])-ROW(tblData[[#Headers],[Sorted Name Id]])),ROWS(tblData[[#Headers],[Sorted Name Id]]:tblData[[#This Row],[Sorted Name Id]])-1)))</f>
        <v/>
      </c>
      <c r="BW25" s="6" t="str">
        <f>IF(ROWS(tblVisasSorted[[#Headers],[Id]]:tblVisasSorted[[#This Row],[Id]])-1&gt;$BW$11,"",SMALL(tblVisas[Id],ROWS(tblVisasSorted[[#Headers],[Id]]:tblVisasSorted[[#This Row],[Id]])-1))</f>
        <v/>
      </c>
      <c r="BY25" s="6" t="str">
        <f t="array" ref="BY25">IF(ROWS(tblData[[#Headers],[Sorted Arr Id]]:tblData[[#This Row],[Sorted Arr Id]])-1&gt;$BY$11,"",INDEX(tblData[Sorted Arr Id],SMALL(IF(LEN(TRIM(tblData[Surname]))*(tblData[Arr DateTime]&gt;0),ROW(tblData[Sorted Arr Id])-ROW(tblData[[#Headers],[Sorted Arr Id]])),ROWS(tblData[[#Headers],[Sorted Arr Id]]:tblData[[#This Row],[Sorted Arr Id]])-1)))</f>
        <v/>
      </c>
      <c r="CA25" s="6" t="str">
        <f>IF(ROWS(tblArrivalSorted[[#Headers],[Id]]:tblArrivalSorted[[#This Row],[Id]])-1&gt;$CA$11,"",SMALL(tblArrival[Id],ROWS(tblArrivalSorted[[#Headers],[Id]]:tblArrivalSorted[[#This Row],[Id]])-1))</f>
        <v/>
      </c>
      <c r="CC25" s="6" t="str">
        <f t="array" ref="CC25">IF(ROWS(tblData[[#Headers],[Sorted Dep Id]]:tblData[[#This Row],[Sorted Dep Id]])-1&gt;$CC$11,"",INDEX(tblData[Sorted Dep Id],SMALL(IF(LEN(TRIM(tblData[Surname]))*(tblData[Dep DateTime]&gt;0),ROW(tblData[Sorted Dep Id])-ROW(tblData[[#Headers],[Sorted Dep Id]])),ROWS(tblData[[#Headers],[Sorted Dep Id]]:tblData[[#This Row],[Sorted Dep Id]])-1)))</f>
        <v/>
      </c>
      <c r="CE25" s="6" t="str">
        <f>IF(ROWS(tblDepartureSorted[[#Headers],[Id]]:tblDepartureSorted[[#This Row],[Id]])-1&gt;$CE$11,"",SMALL(tblDeparture[Id],ROWS(tblDepartureSorted[[#Headers],[Id]]:tblDepartureSorted[[#This Row],[Id]])-1))</f>
        <v/>
      </c>
      <c r="CG25" s="6" t="str">
        <f t="array" ref="CG25">IF(ROWS(tblData[[#Headers],[Id]]:tblData[[#This Row],[Id]])-1&gt;$CG$11,"",INDEX(tblData[Id],SMALL(IF(LEN(TRIM(tblData[Surname])),ROW(tblData[Id])-ROW(tblData[[#Headers],[Id]])),ROWS(tblData[[#Headers],[Id]]:tblData[[#This Row],[Id]])-1)))</f>
        <v/>
      </c>
    </row>
    <row r="26" spans="1:85" s="6" customFormat="1">
      <c r="A26" s="14">
        <f>IF(ISNUMBER(tblData[[#This Row],[SubType2]]),tblData[[#This Row],[SubType2]]*10000+tblData[[#This Row],[No]],1000000+tblData[[#This Row],[No]])</f>
        <v>1000013</v>
      </c>
      <c r="B26" s="14">
        <f>IFERROR(tblData[[#This Row],[Surname Rang]]*1000+tblData[[#This Row],[Given Name Rang]]+tblData[[#This Row],[No]]/1000,"")</f>
        <v>1.2999999999999999E-2</v>
      </c>
      <c r="C26" s="14">
        <f>IFERROR(tblData[[#This Row],[Arr DateTime Rang]]+tblData[[#This Row],[No]]/1000,"")</f>
        <v>110.01300000000001</v>
      </c>
      <c r="D26" s="14">
        <f>IFERROR(tblData[[#This Row],[Dep DateTime Rang]]+tblData[[#This Row],[No]]/1000,"")</f>
        <v>110.01300000000001</v>
      </c>
      <c r="E26" s="362">
        <f t="shared" si="1"/>
        <v>13</v>
      </c>
      <c r="F26" s="370"/>
      <c r="G26" s="331"/>
      <c r="H26" s="328"/>
      <c r="I26" s="329"/>
      <c r="J26" s="330"/>
      <c r="K26" s="369"/>
      <c r="L26" s="375"/>
      <c r="M26" s="331"/>
      <c r="N26" s="331"/>
      <c r="O26" s="331"/>
      <c r="P26" s="329"/>
      <c r="Q26" s="376"/>
      <c r="R26" s="383"/>
      <c r="S26" s="332"/>
      <c r="T26" s="331"/>
      <c r="U26" s="333"/>
      <c r="V26" s="333"/>
      <c r="W26" s="384"/>
      <c r="X26" s="383"/>
      <c r="Y26" s="332"/>
      <c r="Z26" s="331"/>
      <c r="AA26" s="331"/>
      <c r="AB26" s="333"/>
      <c r="AC26" s="384"/>
      <c r="AD26" s="375"/>
      <c r="AE26" s="369"/>
      <c r="AF26" s="397"/>
      <c r="AG26" s="328"/>
      <c r="AH26" s="328"/>
      <c r="AI26" s="328"/>
      <c r="AJ26" s="328"/>
      <c r="AK26" s="328"/>
      <c r="AL26" s="328"/>
      <c r="AM26" s="328"/>
      <c r="AN26" s="398"/>
      <c r="AO26" s="402" t="str">
        <f>IF(ISBLANK(tblData[[#This Row],[Surname]]),"",IF(tblData[[#This Row],[Bill Accred Fee]]=0,"NO","YES"))</f>
        <v/>
      </c>
      <c r="AP26" s="406">
        <f>IF(AND(NOT(ISBLANK(tblData[[#This Row],[Surname]])),COUNTA(tblData[[#This Row],[Day 1]:[Day 9]])=0),1,0)</f>
        <v>0</v>
      </c>
      <c r="AQ26" s="406">
        <f>IF(AND(NOT(ISBLANK(tblData[[#This Row],[Surname]])),tblData[[#This Row],[Position]]="Athlete"),1,0)</f>
        <v>0</v>
      </c>
      <c r="AR26" s="433">
        <f>EntryFee*tblData[[#This Row],[Entry Fee Billable]]</f>
        <v>0</v>
      </c>
      <c r="AS26" s="410" t="e">
        <f>IF(ISBLANK(SelectedCategory),"No Cat!",IF(ISBLANK($F26),0,IFERROR(VLOOKUP(AS$12&amp;", "&amp;tblData[[#This Row],[Day 1]],tblAccommodationCosts[],5,FALSE),0)+IFERROR(VLOOKUP(AS$12&amp;", "&amp;tblData[[#This Row],[Day 2]],tblAccommodationCosts[],5,FALSE),0)+IFERROR(VLOOKUP(AS$12&amp;", "&amp;tblData[[#This Row],[Day 3]],tblAccommodationCosts[],5,FALSE),0)+IFERROR(VLOOKUP(AS$12&amp;", "&amp;tblData[[#This Row],[Day 4]],tblAccommodationCosts[],5,FALSE),0)+IFERROR(VLOOKUP(AS$12&amp;", "&amp;tblData[[#This Row],[Day 5]],tblAccommodationCosts[],5,FALSE),0)+IFERROR(VLOOKUP(AS$12&amp;", "&amp;tblData[[#This Row],[Day 6]],tblAccommodationCosts[],5,FALSE),0)+IFERROR(VLOOKUP(AS$12&amp;", "&amp;tblData[[#This Row],[Day 7]],tblAccommodationCosts[],5,FALSE),0)+IFERROR(VLOOKUP(AS$12&amp;", "&amp;tblData[[#This Row],[Day 8]],tblAccommodationCosts[],5,FALSE),0)+IFERROR(VLOOKUP(AS$12&amp;", "&amp;tblData[[#This Row],[Day 9]],tblAccommodationCosts[],5,FALSE),0)+AccreditationFee*tblData[[#This Row],[Bill Accred Fee]]))+tblData[[#This Row],[Entry Fee]]</f>
        <v>#VALUE!</v>
      </c>
      <c r="AT26" s="324" t="str">
        <f>IFERROR(VLOOKUP(tblData[[#This Row],[Weight Category, Function, and Gender]],tblWeightOrFunction[],3,0),"")</f>
        <v/>
      </c>
      <c r="AU26" s="84" t="str">
        <f>IFERROR(VLOOKUP(tblData[[#This Row],[Weight Category, Function, and Gender]],tblWeightOrFunction[],4,0),"")</f>
        <v/>
      </c>
      <c r="AV26" s="85" t="str">
        <f>IFERROR(VLOOKUP(tblData[[#This Row],[Weight Category, Function, and Gender]],tblWeightOrFunction[],7,0),"")</f>
        <v/>
      </c>
      <c r="AW26" s="84" t="str">
        <f>IFERROR(VLOOKUP(tblData[[#This Row],[Weight Category, Function, and Gender]],tblWeightOrFunction[],6,0),"")</f>
        <v/>
      </c>
      <c r="AX26" s="84" t="str">
        <f>IFERROR(VLOOKUP(tblData[[#This Row],[Weight Category, Function, and Gender]],tblWeightOrFunction[],2,0),"")</f>
        <v/>
      </c>
      <c r="AY26" s="75">
        <f>tblData[[#This Row],[Arr Date]]+tblData[[#This Row],[Arr Time]]</f>
        <v>0</v>
      </c>
      <c r="AZ26" s="75">
        <f>tblData[[#This Row],[Dep Date]]+tblData[[#This Row],[Dep Time]]</f>
        <v>0</v>
      </c>
      <c r="BA26" s="72">
        <f>COUNTIF(tblData[Surname],"&lt;="&amp;tblData[Surname])</f>
        <v>0</v>
      </c>
      <c r="BB26" s="72">
        <f>COUNTIF(tblData[Given name],"&lt;="&amp;tblData[Given name])</f>
        <v>0</v>
      </c>
      <c r="BC26" s="72">
        <f>COUNTIF(tblData[Arr DateTime],"&lt;="&amp;tblData[Arr DateTime])</f>
        <v>110</v>
      </c>
      <c r="BD26" s="72">
        <f>COUNTIF(tblData[Dep DateTime],"&lt;="&amp;tblData[Dep DateTime])</f>
        <v>110</v>
      </c>
      <c r="BE26" s="72">
        <f>COUNTIF(tblData[ShuttleAtDeparture],"&lt;="&amp;tblData[ShuttleAtDeparture])</f>
        <v>0</v>
      </c>
      <c r="BI26" s="6" t="str">
        <f t="array" ref="BI26">IF(ROWS(tblData[[#Headers],[Id]]:tblData[[#This Row],[Id]])-1&gt;$BI$11,"",INDEX(tblData[Id],SMALL(IF(LEN(TRIM(tblData[Surname]))*((tblData[Type]=$BI$9)+(tblData[Type]=$BI$10)),ROW(tblData[Id])-ROW(tblData[[#Headers],[Id]])),ROWS(tblData[[#Headers],[Id]]:tblData[[#This Row],[Id]])-1)))</f>
        <v/>
      </c>
      <c r="BK26" s="6" t="str">
        <f>IF(ROWS(tblCoachesAndOfficialsSorted[[#Headers],[Id]]:tblCoachesAndOfficialsSorted[[#This Row],[Id]])-1&gt;$BK$11,"",SMALL(tblCoachesAndOfficials[Id],ROWS(tblCoachesAndOfficialsSorted[[#Headers],[Id]]:tblCoachesAndOfficialsSorted[[#This Row],[Id]])-1))</f>
        <v/>
      </c>
      <c r="BM26" s="6" t="str">
        <f t="array" ref="BM26">IF(ROWS(tblData[[#Headers],[Id]]:tblData[[#This Row],[Id]])-1&gt;$BM$11,"",INDEX(tblData[Id],SMALL(IF(LEN(TRIM(tblData[Surname]))*(tblData[Type]=$BM$9),ROW(tblData[Id])-ROW(tblData[[#Headers],[Id]])),ROWS(tblData[[#Headers],[Id]]:tblData[[#This Row],[Id]])-1)))</f>
        <v/>
      </c>
      <c r="BO26" s="6" t="str">
        <f>IF(ROWS(tblWomenSorted[[#Headers],[Id]]:tblWomenSorted[[#This Row],[Id]])-1&gt;$BO$11,"",SMALL(tblWomen[Id],ROWS(tblWomenSorted[[#Headers],[Id]]:tblWomenSorted[[#This Row],[Id]])-1))</f>
        <v/>
      </c>
      <c r="BP26" s="17"/>
      <c r="BQ26" s="6" t="str">
        <f t="array" ref="BQ26">IF(ROWS(tblData[[#Headers],[Id]]:tblData[[#This Row],[Id]])-1&gt;$BQ$11,"",INDEX(tblData[Id],SMALL(IF(LEN(TRIM(tblData[Surname]))*(tblData[Type]=$BQ$9),ROW(tblData[Id])-ROW(tblData[[#Headers],[Id]])),ROWS(tblData[[#Headers],[Id]]:tblData[[#This Row],[Id]])-1)))</f>
        <v/>
      </c>
      <c r="BS26" s="6" t="str">
        <f>IF(ROWS(tblMenSorted[[#Headers],[Id]]:tblMenSorted[[#This Row],[Id]])-1&gt;$BS$11,"",SMALL(tblMen[Id],ROWS(tblMenSorted[[#Headers],[Id]]:tblMenSorted[[#This Row],[Id]])-1))</f>
        <v/>
      </c>
      <c r="BU26" s="6" t="str">
        <f t="array" ref="BU26">IF(ROWS(tblData[[#Headers],[Sorted Name Id]]:tblData[[#This Row],[Sorted Name Id]])-1&gt;$BU$11,"",INDEX(tblData[Sorted Name Id],SMALL(IF(LEN(TRIM(tblData[Surname]))*(tblData[Visa required]="YES"),ROW(tblData[Sorted Name Id])-ROW(tblData[[#Headers],[Sorted Name Id]])),ROWS(tblData[[#Headers],[Sorted Name Id]]:tblData[[#This Row],[Sorted Name Id]])-1)))</f>
        <v/>
      </c>
      <c r="BW26" s="6" t="str">
        <f>IF(ROWS(tblVisasSorted[[#Headers],[Id]]:tblVisasSorted[[#This Row],[Id]])-1&gt;$BW$11,"",SMALL(tblVisas[Id],ROWS(tblVisasSorted[[#Headers],[Id]]:tblVisasSorted[[#This Row],[Id]])-1))</f>
        <v/>
      </c>
      <c r="BY26" s="6" t="str">
        <f t="array" ref="BY26">IF(ROWS(tblData[[#Headers],[Sorted Arr Id]]:tblData[[#This Row],[Sorted Arr Id]])-1&gt;$BY$11,"",INDEX(tblData[Sorted Arr Id],SMALL(IF(LEN(TRIM(tblData[Surname]))*(tblData[Arr DateTime]&gt;0),ROW(tblData[Sorted Arr Id])-ROW(tblData[[#Headers],[Sorted Arr Id]])),ROWS(tblData[[#Headers],[Sorted Arr Id]]:tblData[[#This Row],[Sorted Arr Id]])-1)))</f>
        <v/>
      </c>
      <c r="CA26" s="6" t="str">
        <f>IF(ROWS(tblArrivalSorted[[#Headers],[Id]]:tblArrivalSorted[[#This Row],[Id]])-1&gt;$CA$11,"",SMALL(tblArrival[Id],ROWS(tblArrivalSorted[[#Headers],[Id]]:tblArrivalSorted[[#This Row],[Id]])-1))</f>
        <v/>
      </c>
      <c r="CC26" s="6" t="str">
        <f t="array" ref="CC26">IF(ROWS(tblData[[#Headers],[Sorted Dep Id]]:tblData[[#This Row],[Sorted Dep Id]])-1&gt;$CC$11,"",INDEX(tblData[Sorted Dep Id],SMALL(IF(LEN(TRIM(tblData[Surname]))*(tblData[Dep DateTime]&gt;0),ROW(tblData[Sorted Dep Id])-ROW(tblData[[#Headers],[Sorted Dep Id]])),ROWS(tblData[[#Headers],[Sorted Dep Id]]:tblData[[#This Row],[Sorted Dep Id]])-1)))</f>
        <v/>
      </c>
      <c r="CE26" s="6" t="str">
        <f>IF(ROWS(tblDepartureSorted[[#Headers],[Id]]:tblDepartureSorted[[#This Row],[Id]])-1&gt;$CE$11,"",SMALL(tblDeparture[Id],ROWS(tblDepartureSorted[[#Headers],[Id]]:tblDepartureSorted[[#This Row],[Id]])-1))</f>
        <v/>
      </c>
      <c r="CG26" s="6" t="str">
        <f t="array" ref="CG26">IF(ROWS(tblData[[#Headers],[Id]]:tblData[[#This Row],[Id]])-1&gt;$CG$11,"",INDEX(tblData[Id],SMALL(IF(LEN(TRIM(tblData[Surname])),ROW(tblData[Id])-ROW(tblData[[#Headers],[Id]])),ROWS(tblData[[#Headers],[Id]]:tblData[[#This Row],[Id]])-1)))</f>
        <v/>
      </c>
    </row>
    <row r="27" spans="1:85" s="6" customFormat="1">
      <c r="A27" s="14">
        <f>IF(ISNUMBER(tblData[[#This Row],[SubType2]]),tblData[[#This Row],[SubType2]]*10000+tblData[[#This Row],[No]],1000000+tblData[[#This Row],[No]])</f>
        <v>1000014</v>
      </c>
      <c r="B27" s="14">
        <f>IFERROR(tblData[[#This Row],[Surname Rang]]*1000+tblData[[#This Row],[Given Name Rang]]+tblData[[#This Row],[No]]/1000,"")</f>
        <v>1.4E-2</v>
      </c>
      <c r="C27" s="14">
        <f>IFERROR(tblData[[#This Row],[Arr DateTime Rang]]+tblData[[#This Row],[No]]/1000,"")</f>
        <v>110.014</v>
      </c>
      <c r="D27" s="14">
        <f>IFERROR(tblData[[#This Row],[Dep DateTime Rang]]+tblData[[#This Row],[No]]/1000,"")</f>
        <v>110.014</v>
      </c>
      <c r="E27" s="362">
        <f t="shared" si="1"/>
        <v>14</v>
      </c>
      <c r="F27" s="370"/>
      <c r="G27" s="331"/>
      <c r="H27" s="328"/>
      <c r="I27" s="329"/>
      <c r="J27" s="330"/>
      <c r="K27" s="369"/>
      <c r="L27" s="375"/>
      <c r="M27" s="331"/>
      <c r="N27" s="331"/>
      <c r="O27" s="331"/>
      <c r="P27" s="329"/>
      <c r="Q27" s="376"/>
      <c r="R27" s="383"/>
      <c r="S27" s="332"/>
      <c r="T27" s="331"/>
      <c r="U27" s="333"/>
      <c r="V27" s="333"/>
      <c r="W27" s="384"/>
      <c r="X27" s="383"/>
      <c r="Y27" s="332"/>
      <c r="Z27" s="331"/>
      <c r="AA27" s="331"/>
      <c r="AB27" s="333"/>
      <c r="AC27" s="384"/>
      <c r="AD27" s="375"/>
      <c r="AE27" s="369"/>
      <c r="AF27" s="397"/>
      <c r="AG27" s="328"/>
      <c r="AH27" s="328"/>
      <c r="AI27" s="328"/>
      <c r="AJ27" s="328"/>
      <c r="AK27" s="328"/>
      <c r="AL27" s="328"/>
      <c r="AM27" s="328"/>
      <c r="AN27" s="398"/>
      <c r="AO27" s="402" t="str">
        <f>IF(ISBLANK(tblData[[#This Row],[Surname]]),"",IF(tblData[[#This Row],[Bill Accred Fee]]=0,"NO","YES"))</f>
        <v/>
      </c>
      <c r="AP27" s="406">
        <f>IF(AND(NOT(ISBLANK(tblData[[#This Row],[Surname]])),COUNTA(tblData[[#This Row],[Day 1]:[Day 9]])=0),1,0)</f>
        <v>0</v>
      </c>
      <c r="AQ27" s="406">
        <f>IF(AND(NOT(ISBLANK(tblData[[#This Row],[Surname]])),tblData[[#This Row],[Position]]="Athlete"),1,0)</f>
        <v>0</v>
      </c>
      <c r="AR27" s="433">
        <f>EntryFee*tblData[[#This Row],[Entry Fee Billable]]</f>
        <v>0</v>
      </c>
      <c r="AS27" s="410" t="e">
        <f>IF(ISBLANK(SelectedCategory),"No Cat!",IF(ISBLANK($F27),0,IFERROR(VLOOKUP(AS$12&amp;", "&amp;tblData[[#This Row],[Day 1]],tblAccommodationCosts[],5,FALSE),0)+IFERROR(VLOOKUP(AS$12&amp;", "&amp;tblData[[#This Row],[Day 2]],tblAccommodationCosts[],5,FALSE),0)+IFERROR(VLOOKUP(AS$12&amp;", "&amp;tblData[[#This Row],[Day 3]],tblAccommodationCosts[],5,FALSE),0)+IFERROR(VLOOKUP(AS$12&amp;", "&amp;tblData[[#This Row],[Day 4]],tblAccommodationCosts[],5,FALSE),0)+IFERROR(VLOOKUP(AS$12&amp;", "&amp;tblData[[#This Row],[Day 5]],tblAccommodationCosts[],5,FALSE),0)+IFERROR(VLOOKUP(AS$12&amp;", "&amp;tblData[[#This Row],[Day 6]],tblAccommodationCosts[],5,FALSE),0)+IFERROR(VLOOKUP(AS$12&amp;", "&amp;tblData[[#This Row],[Day 7]],tblAccommodationCosts[],5,FALSE),0)+IFERROR(VLOOKUP(AS$12&amp;", "&amp;tblData[[#This Row],[Day 8]],tblAccommodationCosts[],5,FALSE),0)+IFERROR(VLOOKUP(AS$12&amp;", "&amp;tblData[[#This Row],[Day 9]],tblAccommodationCosts[],5,FALSE),0)+AccreditationFee*tblData[[#This Row],[Bill Accred Fee]]))+tblData[[#This Row],[Entry Fee]]</f>
        <v>#VALUE!</v>
      </c>
      <c r="AT27" s="324" t="str">
        <f>IFERROR(VLOOKUP(tblData[[#This Row],[Weight Category, Function, and Gender]],tblWeightOrFunction[],3,0),"")</f>
        <v/>
      </c>
      <c r="AU27" s="84" t="str">
        <f>IFERROR(VLOOKUP(tblData[[#This Row],[Weight Category, Function, and Gender]],tblWeightOrFunction[],4,0),"")</f>
        <v/>
      </c>
      <c r="AV27" s="85" t="str">
        <f>IFERROR(VLOOKUP(tblData[[#This Row],[Weight Category, Function, and Gender]],tblWeightOrFunction[],7,0),"")</f>
        <v/>
      </c>
      <c r="AW27" s="84" t="str">
        <f>IFERROR(VLOOKUP(tblData[[#This Row],[Weight Category, Function, and Gender]],tblWeightOrFunction[],6,0),"")</f>
        <v/>
      </c>
      <c r="AX27" s="84" t="str">
        <f>IFERROR(VLOOKUP(tblData[[#This Row],[Weight Category, Function, and Gender]],tblWeightOrFunction[],2,0),"")</f>
        <v/>
      </c>
      <c r="AY27" s="75">
        <f>tblData[[#This Row],[Arr Date]]+tblData[[#This Row],[Arr Time]]</f>
        <v>0</v>
      </c>
      <c r="AZ27" s="75">
        <f>tblData[[#This Row],[Dep Date]]+tblData[[#This Row],[Dep Time]]</f>
        <v>0</v>
      </c>
      <c r="BA27" s="72">
        <f>COUNTIF(tblData[Surname],"&lt;="&amp;tblData[Surname])</f>
        <v>0</v>
      </c>
      <c r="BB27" s="72">
        <f>COUNTIF(tblData[Given name],"&lt;="&amp;tblData[Given name])</f>
        <v>0</v>
      </c>
      <c r="BC27" s="72">
        <f>COUNTIF(tblData[Arr DateTime],"&lt;="&amp;tblData[Arr DateTime])</f>
        <v>110</v>
      </c>
      <c r="BD27" s="72">
        <f>COUNTIF(tblData[Dep DateTime],"&lt;="&amp;tblData[Dep DateTime])</f>
        <v>110</v>
      </c>
      <c r="BE27" s="72">
        <f>COUNTIF(tblData[ShuttleAtDeparture],"&lt;="&amp;tblData[ShuttleAtDeparture])</f>
        <v>0</v>
      </c>
      <c r="BI27" s="6" t="str">
        <f t="array" ref="BI27">IF(ROWS(tblData[[#Headers],[Id]]:tblData[[#This Row],[Id]])-1&gt;$BI$11,"",INDEX(tblData[Id],SMALL(IF(LEN(TRIM(tblData[Surname]))*((tblData[Type]=$BI$9)+(tblData[Type]=$BI$10)),ROW(tblData[Id])-ROW(tblData[[#Headers],[Id]])),ROWS(tblData[[#Headers],[Id]]:tblData[[#This Row],[Id]])-1)))</f>
        <v/>
      </c>
      <c r="BK27" s="6" t="str">
        <f>IF(ROWS(tblCoachesAndOfficialsSorted[[#Headers],[Id]]:tblCoachesAndOfficialsSorted[[#This Row],[Id]])-1&gt;$BK$11,"",SMALL(tblCoachesAndOfficials[Id],ROWS(tblCoachesAndOfficialsSorted[[#Headers],[Id]]:tblCoachesAndOfficialsSorted[[#This Row],[Id]])-1))</f>
        <v/>
      </c>
      <c r="BM27" s="6" t="str">
        <f t="array" ref="BM27">IF(ROWS(tblData[[#Headers],[Id]]:tblData[[#This Row],[Id]])-1&gt;$BM$11,"",INDEX(tblData[Id],SMALL(IF(LEN(TRIM(tblData[Surname]))*(tblData[Type]=$BM$9),ROW(tblData[Id])-ROW(tblData[[#Headers],[Id]])),ROWS(tblData[[#Headers],[Id]]:tblData[[#This Row],[Id]])-1)))</f>
        <v/>
      </c>
      <c r="BO27" s="6" t="str">
        <f>IF(ROWS(tblWomenSorted[[#Headers],[Id]]:tblWomenSorted[[#This Row],[Id]])-1&gt;$BO$11,"",SMALL(tblWomen[Id],ROWS(tblWomenSorted[[#Headers],[Id]]:tblWomenSorted[[#This Row],[Id]])-1))</f>
        <v/>
      </c>
      <c r="BP27" s="17"/>
      <c r="BQ27" s="6" t="str">
        <f t="array" ref="BQ27">IF(ROWS(tblData[[#Headers],[Id]]:tblData[[#This Row],[Id]])-1&gt;$BQ$11,"",INDEX(tblData[Id],SMALL(IF(LEN(TRIM(tblData[Surname]))*(tblData[Type]=$BQ$9),ROW(tblData[Id])-ROW(tblData[[#Headers],[Id]])),ROWS(tblData[[#Headers],[Id]]:tblData[[#This Row],[Id]])-1)))</f>
        <v/>
      </c>
      <c r="BS27" s="6" t="str">
        <f>IF(ROWS(tblMenSorted[[#Headers],[Id]]:tblMenSorted[[#This Row],[Id]])-1&gt;$BS$11,"",SMALL(tblMen[Id],ROWS(tblMenSorted[[#Headers],[Id]]:tblMenSorted[[#This Row],[Id]])-1))</f>
        <v/>
      </c>
      <c r="BU27" s="6" t="str">
        <f t="array" ref="BU27">IF(ROWS(tblData[[#Headers],[Sorted Name Id]]:tblData[[#This Row],[Sorted Name Id]])-1&gt;$BU$11,"",INDEX(tblData[Sorted Name Id],SMALL(IF(LEN(TRIM(tblData[Surname]))*(tblData[Visa required]="YES"),ROW(tblData[Sorted Name Id])-ROW(tblData[[#Headers],[Sorted Name Id]])),ROWS(tblData[[#Headers],[Sorted Name Id]]:tblData[[#This Row],[Sorted Name Id]])-1)))</f>
        <v/>
      </c>
      <c r="BW27" s="6" t="str">
        <f>IF(ROWS(tblVisasSorted[[#Headers],[Id]]:tblVisasSorted[[#This Row],[Id]])-1&gt;$BW$11,"",SMALL(tblVisas[Id],ROWS(tblVisasSorted[[#Headers],[Id]]:tblVisasSorted[[#This Row],[Id]])-1))</f>
        <v/>
      </c>
      <c r="BY27" s="6" t="str">
        <f t="array" ref="BY27">IF(ROWS(tblData[[#Headers],[Sorted Arr Id]]:tblData[[#This Row],[Sorted Arr Id]])-1&gt;$BY$11,"",INDEX(tblData[Sorted Arr Id],SMALL(IF(LEN(TRIM(tblData[Surname]))*(tblData[Arr DateTime]&gt;0),ROW(tblData[Sorted Arr Id])-ROW(tblData[[#Headers],[Sorted Arr Id]])),ROWS(tblData[[#Headers],[Sorted Arr Id]]:tblData[[#This Row],[Sorted Arr Id]])-1)))</f>
        <v/>
      </c>
      <c r="CA27" s="6" t="str">
        <f>IF(ROWS(tblArrivalSorted[[#Headers],[Id]]:tblArrivalSorted[[#This Row],[Id]])-1&gt;$CA$11,"",SMALL(tblArrival[Id],ROWS(tblArrivalSorted[[#Headers],[Id]]:tblArrivalSorted[[#This Row],[Id]])-1))</f>
        <v/>
      </c>
      <c r="CC27" s="6" t="str">
        <f t="array" ref="CC27">IF(ROWS(tblData[[#Headers],[Sorted Dep Id]]:tblData[[#This Row],[Sorted Dep Id]])-1&gt;$CC$11,"",INDEX(tblData[Sorted Dep Id],SMALL(IF(LEN(TRIM(tblData[Surname]))*(tblData[Dep DateTime]&gt;0),ROW(tblData[Sorted Dep Id])-ROW(tblData[[#Headers],[Sorted Dep Id]])),ROWS(tblData[[#Headers],[Sorted Dep Id]]:tblData[[#This Row],[Sorted Dep Id]])-1)))</f>
        <v/>
      </c>
      <c r="CE27" s="6" t="str">
        <f>IF(ROWS(tblDepartureSorted[[#Headers],[Id]]:tblDepartureSorted[[#This Row],[Id]])-1&gt;$CE$11,"",SMALL(tblDeparture[Id],ROWS(tblDepartureSorted[[#Headers],[Id]]:tblDepartureSorted[[#This Row],[Id]])-1))</f>
        <v/>
      </c>
      <c r="CG27" s="6" t="str">
        <f t="array" ref="CG27">IF(ROWS(tblData[[#Headers],[Id]]:tblData[[#This Row],[Id]])-1&gt;$CG$11,"",INDEX(tblData[Id],SMALL(IF(LEN(TRIM(tblData[Surname])),ROW(tblData[Id])-ROW(tblData[[#Headers],[Id]])),ROWS(tblData[[#Headers],[Id]]:tblData[[#This Row],[Id]])-1)))</f>
        <v/>
      </c>
    </row>
    <row r="28" spans="1:85" s="6" customFormat="1">
      <c r="A28" s="14">
        <f>IF(ISNUMBER(tblData[[#This Row],[SubType2]]),tblData[[#This Row],[SubType2]]*10000+tblData[[#This Row],[No]],1000000+tblData[[#This Row],[No]])</f>
        <v>1000015</v>
      </c>
      <c r="B28" s="14">
        <f>IFERROR(tblData[[#This Row],[Surname Rang]]*1000+tblData[[#This Row],[Given Name Rang]]+tblData[[#This Row],[No]]/1000,"")</f>
        <v>1.4999999999999999E-2</v>
      </c>
      <c r="C28" s="14">
        <f>IFERROR(tblData[[#This Row],[Arr DateTime Rang]]+tblData[[#This Row],[No]]/1000,"")</f>
        <v>110.015</v>
      </c>
      <c r="D28" s="14">
        <f>IFERROR(tblData[[#This Row],[Dep DateTime Rang]]+tblData[[#This Row],[No]]/1000,"")</f>
        <v>110.015</v>
      </c>
      <c r="E28" s="362">
        <f t="shared" si="1"/>
        <v>15</v>
      </c>
      <c r="F28" s="370"/>
      <c r="G28" s="331"/>
      <c r="H28" s="328"/>
      <c r="I28" s="329"/>
      <c r="J28" s="330"/>
      <c r="K28" s="369"/>
      <c r="L28" s="375"/>
      <c r="M28" s="331"/>
      <c r="N28" s="331"/>
      <c r="O28" s="331"/>
      <c r="P28" s="329"/>
      <c r="Q28" s="376"/>
      <c r="R28" s="383"/>
      <c r="S28" s="332"/>
      <c r="T28" s="331"/>
      <c r="U28" s="333"/>
      <c r="V28" s="333"/>
      <c r="W28" s="384"/>
      <c r="X28" s="383"/>
      <c r="Y28" s="332"/>
      <c r="Z28" s="331"/>
      <c r="AA28" s="331"/>
      <c r="AB28" s="333"/>
      <c r="AC28" s="384"/>
      <c r="AD28" s="375"/>
      <c r="AE28" s="369"/>
      <c r="AF28" s="397"/>
      <c r="AG28" s="328"/>
      <c r="AH28" s="328"/>
      <c r="AI28" s="328"/>
      <c r="AJ28" s="328"/>
      <c r="AK28" s="328"/>
      <c r="AL28" s="328"/>
      <c r="AM28" s="328"/>
      <c r="AN28" s="398"/>
      <c r="AO28" s="402" t="str">
        <f>IF(ISBLANK(tblData[[#This Row],[Surname]]),"",IF(tblData[[#This Row],[Bill Accred Fee]]=0,"NO","YES"))</f>
        <v/>
      </c>
      <c r="AP28" s="406">
        <f>IF(AND(NOT(ISBLANK(tblData[[#This Row],[Surname]])),COUNTA(tblData[[#This Row],[Day 1]:[Day 9]])=0),1,0)</f>
        <v>0</v>
      </c>
      <c r="AQ28" s="406">
        <f>IF(AND(NOT(ISBLANK(tblData[[#This Row],[Surname]])),tblData[[#This Row],[Position]]="Athlete"),1,0)</f>
        <v>0</v>
      </c>
      <c r="AR28" s="433">
        <f>EntryFee*tblData[[#This Row],[Entry Fee Billable]]</f>
        <v>0</v>
      </c>
      <c r="AS28" s="410" t="e">
        <f>IF(ISBLANK(SelectedCategory),"No Cat!",IF(ISBLANK($F28),0,IFERROR(VLOOKUP(AS$12&amp;", "&amp;tblData[[#This Row],[Day 1]],tblAccommodationCosts[],5,FALSE),0)+IFERROR(VLOOKUP(AS$12&amp;", "&amp;tblData[[#This Row],[Day 2]],tblAccommodationCosts[],5,FALSE),0)+IFERROR(VLOOKUP(AS$12&amp;", "&amp;tblData[[#This Row],[Day 3]],tblAccommodationCosts[],5,FALSE),0)+IFERROR(VLOOKUP(AS$12&amp;", "&amp;tblData[[#This Row],[Day 4]],tblAccommodationCosts[],5,FALSE),0)+IFERROR(VLOOKUP(AS$12&amp;", "&amp;tblData[[#This Row],[Day 5]],tblAccommodationCosts[],5,FALSE),0)+IFERROR(VLOOKUP(AS$12&amp;", "&amp;tblData[[#This Row],[Day 6]],tblAccommodationCosts[],5,FALSE),0)+IFERROR(VLOOKUP(AS$12&amp;", "&amp;tblData[[#This Row],[Day 7]],tblAccommodationCosts[],5,FALSE),0)+IFERROR(VLOOKUP(AS$12&amp;", "&amp;tblData[[#This Row],[Day 8]],tblAccommodationCosts[],5,FALSE),0)+IFERROR(VLOOKUP(AS$12&amp;", "&amp;tblData[[#This Row],[Day 9]],tblAccommodationCosts[],5,FALSE),0)+AccreditationFee*tblData[[#This Row],[Bill Accred Fee]]))+tblData[[#This Row],[Entry Fee]]</f>
        <v>#VALUE!</v>
      </c>
      <c r="AT28" s="324" t="str">
        <f>IFERROR(VLOOKUP(tblData[[#This Row],[Weight Category, Function, and Gender]],tblWeightOrFunction[],3,0),"")</f>
        <v/>
      </c>
      <c r="AU28" s="84" t="str">
        <f>IFERROR(VLOOKUP(tblData[[#This Row],[Weight Category, Function, and Gender]],tblWeightOrFunction[],4,0),"")</f>
        <v/>
      </c>
      <c r="AV28" s="85" t="str">
        <f>IFERROR(VLOOKUP(tblData[[#This Row],[Weight Category, Function, and Gender]],tblWeightOrFunction[],7,0),"")</f>
        <v/>
      </c>
      <c r="AW28" s="84" t="str">
        <f>IFERROR(VLOOKUP(tblData[[#This Row],[Weight Category, Function, and Gender]],tblWeightOrFunction[],6,0),"")</f>
        <v/>
      </c>
      <c r="AX28" s="84" t="str">
        <f>IFERROR(VLOOKUP(tblData[[#This Row],[Weight Category, Function, and Gender]],tblWeightOrFunction[],2,0),"")</f>
        <v/>
      </c>
      <c r="AY28" s="75">
        <f>tblData[[#This Row],[Arr Date]]+tblData[[#This Row],[Arr Time]]</f>
        <v>0</v>
      </c>
      <c r="AZ28" s="75">
        <f>tblData[[#This Row],[Dep Date]]+tblData[[#This Row],[Dep Time]]</f>
        <v>0</v>
      </c>
      <c r="BA28" s="72">
        <f>COUNTIF(tblData[Surname],"&lt;="&amp;tblData[Surname])</f>
        <v>0</v>
      </c>
      <c r="BB28" s="72">
        <f>COUNTIF(tblData[Given name],"&lt;="&amp;tblData[Given name])</f>
        <v>0</v>
      </c>
      <c r="BC28" s="72">
        <f>COUNTIF(tblData[Arr DateTime],"&lt;="&amp;tblData[Arr DateTime])</f>
        <v>110</v>
      </c>
      <c r="BD28" s="72">
        <f>COUNTIF(tblData[Dep DateTime],"&lt;="&amp;tblData[Dep DateTime])</f>
        <v>110</v>
      </c>
      <c r="BE28" s="72">
        <f>COUNTIF(tblData[ShuttleAtDeparture],"&lt;="&amp;tblData[ShuttleAtDeparture])</f>
        <v>0</v>
      </c>
      <c r="BI28" s="6" t="str">
        <f t="array" ref="BI28">IF(ROWS(tblData[[#Headers],[Id]]:tblData[[#This Row],[Id]])-1&gt;$BI$11,"",INDEX(tblData[Id],SMALL(IF(LEN(TRIM(tblData[Surname]))*((tblData[Type]=$BI$9)+(tblData[Type]=$BI$10)),ROW(tblData[Id])-ROW(tblData[[#Headers],[Id]])),ROWS(tblData[[#Headers],[Id]]:tblData[[#This Row],[Id]])-1)))</f>
        <v/>
      </c>
      <c r="BK28" s="6" t="str">
        <f>IF(ROWS(tblCoachesAndOfficialsSorted[[#Headers],[Id]]:tblCoachesAndOfficialsSorted[[#This Row],[Id]])-1&gt;$BK$11,"",SMALL(tblCoachesAndOfficials[Id],ROWS(tblCoachesAndOfficialsSorted[[#Headers],[Id]]:tblCoachesAndOfficialsSorted[[#This Row],[Id]])-1))</f>
        <v/>
      </c>
      <c r="BM28" s="6" t="str">
        <f t="array" ref="BM28">IF(ROWS(tblData[[#Headers],[Id]]:tblData[[#This Row],[Id]])-1&gt;$BM$11,"",INDEX(tblData[Id],SMALL(IF(LEN(TRIM(tblData[Surname]))*(tblData[Type]=$BM$9),ROW(tblData[Id])-ROW(tblData[[#Headers],[Id]])),ROWS(tblData[[#Headers],[Id]]:tblData[[#This Row],[Id]])-1)))</f>
        <v/>
      </c>
      <c r="BO28" s="6" t="str">
        <f>IF(ROWS(tblWomenSorted[[#Headers],[Id]]:tblWomenSorted[[#This Row],[Id]])-1&gt;$BO$11,"",SMALL(tblWomen[Id],ROWS(tblWomenSorted[[#Headers],[Id]]:tblWomenSorted[[#This Row],[Id]])-1))</f>
        <v/>
      </c>
      <c r="BP28" s="17"/>
      <c r="BQ28" s="6" t="str">
        <f t="array" ref="BQ28">IF(ROWS(tblData[[#Headers],[Id]]:tblData[[#This Row],[Id]])-1&gt;$BQ$11,"",INDEX(tblData[Id],SMALL(IF(LEN(TRIM(tblData[Surname]))*(tblData[Type]=$BQ$9),ROW(tblData[Id])-ROW(tblData[[#Headers],[Id]])),ROWS(tblData[[#Headers],[Id]]:tblData[[#This Row],[Id]])-1)))</f>
        <v/>
      </c>
      <c r="BS28" s="6" t="str">
        <f>IF(ROWS(tblMenSorted[[#Headers],[Id]]:tblMenSorted[[#This Row],[Id]])-1&gt;$BS$11,"",SMALL(tblMen[Id],ROWS(tblMenSorted[[#Headers],[Id]]:tblMenSorted[[#This Row],[Id]])-1))</f>
        <v/>
      </c>
      <c r="BU28" s="6" t="str">
        <f t="array" ref="BU28">IF(ROWS(tblData[[#Headers],[Sorted Name Id]]:tblData[[#This Row],[Sorted Name Id]])-1&gt;$BU$11,"",INDEX(tblData[Sorted Name Id],SMALL(IF(LEN(TRIM(tblData[Surname]))*(tblData[Visa required]="YES"),ROW(tblData[Sorted Name Id])-ROW(tblData[[#Headers],[Sorted Name Id]])),ROWS(tblData[[#Headers],[Sorted Name Id]]:tblData[[#This Row],[Sorted Name Id]])-1)))</f>
        <v/>
      </c>
      <c r="BW28" s="6" t="str">
        <f>IF(ROWS(tblVisasSorted[[#Headers],[Id]]:tblVisasSorted[[#This Row],[Id]])-1&gt;$BW$11,"",SMALL(tblVisas[Id],ROWS(tblVisasSorted[[#Headers],[Id]]:tblVisasSorted[[#This Row],[Id]])-1))</f>
        <v/>
      </c>
      <c r="BY28" s="6" t="str">
        <f t="array" ref="BY28">IF(ROWS(tblData[[#Headers],[Sorted Arr Id]]:tblData[[#This Row],[Sorted Arr Id]])-1&gt;$BY$11,"",INDEX(tblData[Sorted Arr Id],SMALL(IF(LEN(TRIM(tblData[Surname]))*(tblData[Arr DateTime]&gt;0),ROW(tblData[Sorted Arr Id])-ROW(tblData[[#Headers],[Sorted Arr Id]])),ROWS(tblData[[#Headers],[Sorted Arr Id]]:tblData[[#This Row],[Sorted Arr Id]])-1)))</f>
        <v/>
      </c>
      <c r="CA28" s="6" t="str">
        <f>IF(ROWS(tblArrivalSorted[[#Headers],[Id]]:tblArrivalSorted[[#This Row],[Id]])-1&gt;$CA$11,"",SMALL(tblArrival[Id],ROWS(tblArrivalSorted[[#Headers],[Id]]:tblArrivalSorted[[#This Row],[Id]])-1))</f>
        <v/>
      </c>
      <c r="CC28" s="6" t="str">
        <f t="array" ref="CC28">IF(ROWS(tblData[[#Headers],[Sorted Dep Id]]:tblData[[#This Row],[Sorted Dep Id]])-1&gt;$CC$11,"",INDEX(tblData[Sorted Dep Id],SMALL(IF(LEN(TRIM(tblData[Surname]))*(tblData[Dep DateTime]&gt;0),ROW(tblData[Sorted Dep Id])-ROW(tblData[[#Headers],[Sorted Dep Id]])),ROWS(tblData[[#Headers],[Sorted Dep Id]]:tblData[[#This Row],[Sorted Dep Id]])-1)))</f>
        <v/>
      </c>
      <c r="CE28" s="6" t="str">
        <f>IF(ROWS(tblDepartureSorted[[#Headers],[Id]]:tblDepartureSorted[[#This Row],[Id]])-1&gt;$CE$11,"",SMALL(tblDeparture[Id],ROWS(tblDepartureSorted[[#Headers],[Id]]:tblDepartureSorted[[#This Row],[Id]])-1))</f>
        <v/>
      </c>
      <c r="CG28" s="6" t="str">
        <f t="array" ref="CG28">IF(ROWS(tblData[[#Headers],[Id]]:tblData[[#This Row],[Id]])-1&gt;$CG$11,"",INDEX(tblData[Id],SMALL(IF(LEN(TRIM(tblData[Surname])),ROW(tblData[Id])-ROW(tblData[[#Headers],[Id]])),ROWS(tblData[[#Headers],[Id]]:tblData[[#This Row],[Id]])-1)))</f>
        <v/>
      </c>
    </row>
    <row r="29" spans="1:85" s="6" customFormat="1">
      <c r="A29" s="14">
        <f>IF(ISNUMBER(tblData[[#This Row],[SubType2]]),tblData[[#This Row],[SubType2]]*10000+tblData[[#This Row],[No]],1000000+tblData[[#This Row],[No]])</f>
        <v>1000016</v>
      </c>
      <c r="B29" s="14">
        <f>IFERROR(tblData[[#This Row],[Surname Rang]]*1000+tblData[[#This Row],[Given Name Rang]]+tblData[[#This Row],[No]]/1000,"")</f>
        <v>1.6E-2</v>
      </c>
      <c r="C29" s="14">
        <f>IFERROR(tblData[[#This Row],[Arr DateTime Rang]]+tblData[[#This Row],[No]]/1000,"")</f>
        <v>110.01600000000001</v>
      </c>
      <c r="D29" s="14">
        <f>IFERROR(tblData[[#This Row],[Dep DateTime Rang]]+tblData[[#This Row],[No]]/1000,"")</f>
        <v>110.01600000000001</v>
      </c>
      <c r="E29" s="362">
        <f t="shared" si="1"/>
        <v>16</v>
      </c>
      <c r="F29" s="370"/>
      <c r="G29" s="331"/>
      <c r="H29" s="328"/>
      <c r="I29" s="329"/>
      <c r="J29" s="330"/>
      <c r="K29" s="369"/>
      <c r="L29" s="375"/>
      <c r="M29" s="331"/>
      <c r="N29" s="331"/>
      <c r="O29" s="331"/>
      <c r="P29" s="329"/>
      <c r="Q29" s="376"/>
      <c r="R29" s="383"/>
      <c r="S29" s="332"/>
      <c r="T29" s="331"/>
      <c r="U29" s="333"/>
      <c r="V29" s="333"/>
      <c r="W29" s="384"/>
      <c r="X29" s="383"/>
      <c r="Y29" s="332"/>
      <c r="Z29" s="331"/>
      <c r="AA29" s="331"/>
      <c r="AB29" s="333"/>
      <c r="AC29" s="384"/>
      <c r="AD29" s="375"/>
      <c r="AE29" s="369"/>
      <c r="AF29" s="397"/>
      <c r="AG29" s="328"/>
      <c r="AH29" s="328"/>
      <c r="AI29" s="328"/>
      <c r="AJ29" s="328"/>
      <c r="AK29" s="328"/>
      <c r="AL29" s="328"/>
      <c r="AM29" s="328"/>
      <c r="AN29" s="398"/>
      <c r="AO29" s="402" t="str">
        <f>IF(ISBLANK(tblData[[#This Row],[Surname]]),"",IF(tblData[[#This Row],[Bill Accred Fee]]=0,"NO","YES"))</f>
        <v/>
      </c>
      <c r="AP29" s="406">
        <f>IF(AND(NOT(ISBLANK(tblData[[#This Row],[Surname]])),COUNTA(tblData[[#This Row],[Day 1]:[Day 9]])=0),1,0)</f>
        <v>0</v>
      </c>
      <c r="AQ29" s="406">
        <f>IF(AND(NOT(ISBLANK(tblData[[#This Row],[Surname]])),tblData[[#This Row],[Position]]="Athlete"),1,0)</f>
        <v>0</v>
      </c>
      <c r="AR29" s="433">
        <f>EntryFee*tblData[[#This Row],[Entry Fee Billable]]</f>
        <v>0</v>
      </c>
      <c r="AS29" s="410" t="e">
        <f>IF(ISBLANK(SelectedCategory),"No Cat!",IF(ISBLANK($F29),0,IFERROR(VLOOKUP(AS$12&amp;", "&amp;tblData[[#This Row],[Day 1]],tblAccommodationCosts[],5,FALSE),0)+IFERROR(VLOOKUP(AS$12&amp;", "&amp;tblData[[#This Row],[Day 2]],tblAccommodationCosts[],5,FALSE),0)+IFERROR(VLOOKUP(AS$12&amp;", "&amp;tblData[[#This Row],[Day 3]],tblAccommodationCosts[],5,FALSE),0)+IFERROR(VLOOKUP(AS$12&amp;", "&amp;tblData[[#This Row],[Day 4]],tblAccommodationCosts[],5,FALSE),0)+IFERROR(VLOOKUP(AS$12&amp;", "&amp;tblData[[#This Row],[Day 5]],tblAccommodationCosts[],5,FALSE),0)+IFERROR(VLOOKUP(AS$12&amp;", "&amp;tblData[[#This Row],[Day 6]],tblAccommodationCosts[],5,FALSE),0)+IFERROR(VLOOKUP(AS$12&amp;", "&amp;tblData[[#This Row],[Day 7]],tblAccommodationCosts[],5,FALSE),0)+IFERROR(VLOOKUP(AS$12&amp;", "&amp;tblData[[#This Row],[Day 8]],tblAccommodationCosts[],5,FALSE),0)+IFERROR(VLOOKUP(AS$12&amp;", "&amp;tblData[[#This Row],[Day 9]],tblAccommodationCosts[],5,FALSE),0)+AccreditationFee*tblData[[#This Row],[Bill Accred Fee]]))+tblData[[#This Row],[Entry Fee]]</f>
        <v>#VALUE!</v>
      </c>
      <c r="AT29" s="324" t="str">
        <f>IFERROR(VLOOKUP(tblData[[#This Row],[Weight Category, Function, and Gender]],tblWeightOrFunction[],3,0),"")</f>
        <v/>
      </c>
      <c r="AU29" s="84" t="str">
        <f>IFERROR(VLOOKUP(tblData[[#This Row],[Weight Category, Function, and Gender]],tblWeightOrFunction[],4,0),"")</f>
        <v/>
      </c>
      <c r="AV29" s="85" t="str">
        <f>IFERROR(VLOOKUP(tblData[[#This Row],[Weight Category, Function, and Gender]],tblWeightOrFunction[],7,0),"")</f>
        <v/>
      </c>
      <c r="AW29" s="84" t="str">
        <f>IFERROR(VLOOKUP(tblData[[#This Row],[Weight Category, Function, and Gender]],tblWeightOrFunction[],6,0),"")</f>
        <v/>
      </c>
      <c r="AX29" s="84" t="str">
        <f>IFERROR(VLOOKUP(tblData[[#This Row],[Weight Category, Function, and Gender]],tblWeightOrFunction[],2,0),"")</f>
        <v/>
      </c>
      <c r="AY29" s="75">
        <f>tblData[[#This Row],[Arr Date]]+tblData[[#This Row],[Arr Time]]</f>
        <v>0</v>
      </c>
      <c r="AZ29" s="75">
        <f>tblData[[#This Row],[Dep Date]]+tblData[[#This Row],[Dep Time]]</f>
        <v>0</v>
      </c>
      <c r="BA29" s="72">
        <f>COUNTIF(tblData[Surname],"&lt;="&amp;tblData[Surname])</f>
        <v>0</v>
      </c>
      <c r="BB29" s="72">
        <f>COUNTIF(tblData[Given name],"&lt;="&amp;tblData[Given name])</f>
        <v>0</v>
      </c>
      <c r="BC29" s="72">
        <f>COUNTIF(tblData[Arr DateTime],"&lt;="&amp;tblData[Arr DateTime])</f>
        <v>110</v>
      </c>
      <c r="BD29" s="72">
        <f>COUNTIF(tblData[Dep DateTime],"&lt;="&amp;tblData[Dep DateTime])</f>
        <v>110</v>
      </c>
      <c r="BE29" s="72">
        <f>COUNTIF(tblData[ShuttleAtDeparture],"&lt;="&amp;tblData[ShuttleAtDeparture])</f>
        <v>0</v>
      </c>
      <c r="BI29" s="6" t="str">
        <f t="array" ref="BI29">IF(ROWS(tblData[[#Headers],[Id]]:tblData[[#This Row],[Id]])-1&gt;$BI$11,"",INDEX(tblData[Id],SMALL(IF(LEN(TRIM(tblData[Surname]))*((tblData[Type]=$BI$9)+(tblData[Type]=$BI$10)),ROW(tblData[Id])-ROW(tblData[[#Headers],[Id]])),ROWS(tblData[[#Headers],[Id]]:tblData[[#This Row],[Id]])-1)))</f>
        <v/>
      </c>
      <c r="BK29" s="6" t="str">
        <f>IF(ROWS(tblCoachesAndOfficialsSorted[[#Headers],[Id]]:tblCoachesAndOfficialsSorted[[#This Row],[Id]])-1&gt;$BK$11,"",SMALL(tblCoachesAndOfficials[Id],ROWS(tblCoachesAndOfficialsSorted[[#Headers],[Id]]:tblCoachesAndOfficialsSorted[[#This Row],[Id]])-1))</f>
        <v/>
      </c>
      <c r="BM29" s="6" t="str">
        <f t="array" ref="BM29">IF(ROWS(tblData[[#Headers],[Id]]:tblData[[#This Row],[Id]])-1&gt;$BM$11,"",INDEX(tblData[Id],SMALL(IF(LEN(TRIM(tblData[Surname]))*(tblData[Type]=$BM$9),ROW(tblData[Id])-ROW(tblData[[#Headers],[Id]])),ROWS(tblData[[#Headers],[Id]]:tblData[[#This Row],[Id]])-1)))</f>
        <v/>
      </c>
      <c r="BO29" s="6" t="str">
        <f>IF(ROWS(tblWomenSorted[[#Headers],[Id]]:tblWomenSorted[[#This Row],[Id]])-1&gt;$BO$11,"",SMALL(tblWomen[Id],ROWS(tblWomenSorted[[#Headers],[Id]]:tblWomenSorted[[#This Row],[Id]])-1))</f>
        <v/>
      </c>
      <c r="BP29" s="17"/>
      <c r="BQ29" s="6" t="str">
        <f t="array" ref="BQ29">IF(ROWS(tblData[[#Headers],[Id]]:tblData[[#This Row],[Id]])-1&gt;$BQ$11,"",INDEX(tblData[Id],SMALL(IF(LEN(TRIM(tblData[Surname]))*(tblData[Type]=$BQ$9),ROW(tblData[Id])-ROW(tblData[[#Headers],[Id]])),ROWS(tblData[[#Headers],[Id]]:tblData[[#This Row],[Id]])-1)))</f>
        <v/>
      </c>
      <c r="BS29" s="6" t="str">
        <f>IF(ROWS(tblMenSorted[[#Headers],[Id]]:tblMenSorted[[#This Row],[Id]])-1&gt;$BS$11,"",SMALL(tblMen[Id],ROWS(tblMenSorted[[#Headers],[Id]]:tblMenSorted[[#This Row],[Id]])-1))</f>
        <v/>
      </c>
      <c r="BU29" s="6" t="str">
        <f t="array" ref="BU29">IF(ROWS(tblData[[#Headers],[Sorted Name Id]]:tblData[[#This Row],[Sorted Name Id]])-1&gt;$BU$11,"",INDEX(tblData[Sorted Name Id],SMALL(IF(LEN(TRIM(tblData[Surname]))*(tblData[Visa required]="YES"),ROW(tblData[Sorted Name Id])-ROW(tblData[[#Headers],[Sorted Name Id]])),ROWS(tblData[[#Headers],[Sorted Name Id]]:tblData[[#This Row],[Sorted Name Id]])-1)))</f>
        <v/>
      </c>
      <c r="BW29" s="6" t="str">
        <f>IF(ROWS(tblVisasSorted[[#Headers],[Id]]:tblVisasSorted[[#This Row],[Id]])-1&gt;$BW$11,"",SMALL(tblVisas[Id],ROWS(tblVisasSorted[[#Headers],[Id]]:tblVisasSorted[[#This Row],[Id]])-1))</f>
        <v/>
      </c>
      <c r="BY29" s="6" t="str">
        <f t="array" ref="BY29">IF(ROWS(tblData[[#Headers],[Sorted Arr Id]]:tblData[[#This Row],[Sorted Arr Id]])-1&gt;$BY$11,"",INDEX(tblData[Sorted Arr Id],SMALL(IF(LEN(TRIM(tblData[Surname]))*(tblData[Arr DateTime]&gt;0),ROW(tblData[Sorted Arr Id])-ROW(tblData[[#Headers],[Sorted Arr Id]])),ROWS(tblData[[#Headers],[Sorted Arr Id]]:tblData[[#This Row],[Sorted Arr Id]])-1)))</f>
        <v/>
      </c>
      <c r="CA29" s="6" t="str">
        <f>IF(ROWS(tblArrivalSorted[[#Headers],[Id]]:tblArrivalSorted[[#This Row],[Id]])-1&gt;$CA$11,"",SMALL(tblArrival[Id],ROWS(tblArrivalSorted[[#Headers],[Id]]:tblArrivalSorted[[#This Row],[Id]])-1))</f>
        <v/>
      </c>
      <c r="CC29" s="6" t="str">
        <f t="array" ref="CC29">IF(ROWS(tblData[[#Headers],[Sorted Dep Id]]:tblData[[#This Row],[Sorted Dep Id]])-1&gt;$CC$11,"",INDEX(tblData[Sorted Dep Id],SMALL(IF(LEN(TRIM(tblData[Surname]))*(tblData[Dep DateTime]&gt;0),ROW(tblData[Sorted Dep Id])-ROW(tblData[[#Headers],[Sorted Dep Id]])),ROWS(tblData[[#Headers],[Sorted Dep Id]]:tblData[[#This Row],[Sorted Dep Id]])-1)))</f>
        <v/>
      </c>
      <c r="CE29" s="6" t="str">
        <f>IF(ROWS(tblDepartureSorted[[#Headers],[Id]]:tblDepartureSorted[[#This Row],[Id]])-1&gt;$CE$11,"",SMALL(tblDeparture[Id],ROWS(tblDepartureSorted[[#Headers],[Id]]:tblDepartureSorted[[#This Row],[Id]])-1))</f>
        <v/>
      </c>
      <c r="CG29" s="6" t="str">
        <f t="array" ref="CG29">IF(ROWS(tblData[[#Headers],[Id]]:tblData[[#This Row],[Id]])-1&gt;$CG$11,"",INDEX(tblData[Id],SMALL(IF(LEN(TRIM(tblData[Surname])),ROW(tblData[Id])-ROW(tblData[[#Headers],[Id]])),ROWS(tblData[[#Headers],[Id]]:tblData[[#This Row],[Id]])-1)))</f>
        <v/>
      </c>
    </row>
    <row r="30" spans="1:85" s="6" customFormat="1">
      <c r="A30" s="14">
        <f>IF(ISNUMBER(tblData[[#This Row],[SubType2]]),tblData[[#This Row],[SubType2]]*10000+tblData[[#This Row],[No]],1000000+tblData[[#This Row],[No]])</f>
        <v>1000017</v>
      </c>
      <c r="B30" s="14">
        <f>IFERROR(tblData[[#This Row],[Surname Rang]]*1000+tblData[[#This Row],[Given Name Rang]]+tblData[[#This Row],[No]]/1000,"")</f>
        <v>1.7000000000000001E-2</v>
      </c>
      <c r="C30" s="14">
        <f>IFERROR(tblData[[#This Row],[Arr DateTime Rang]]+tblData[[#This Row],[No]]/1000,"")</f>
        <v>110.017</v>
      </c>
      <c r="D30" s="14">
        <f>IFERROR(tblData[[#This Row],[Dep DateTime Rang]]+tblData[[#This Row],[No]]/1000,"")</f>
        <v>110.017</v>
      </c>
      <c r="E30" s="362">
        <f t="shared" si="1"/>
        <v>17</v>
      </c>
      <c r="F30" s="370"/>
      <c r="G30" s="331"/>
      <c r="H30" s="328"/>
      <c r="I30" s="329"/>
      <c r="J30" s="330"/>
      <c r="K30" s="369"/>
      <c r="L30" s="375"/>
      <c r="M30" s="331"/>
      <c r="N30" s="331"/>
      <c r="O30" s="331"/>
      <c r="P30" s="329"/>
      <c r="Q30" s="376"/>
      <c r="R30" s="383"/>
      <c r="S30" s="332"/>
      <c r="T30" s="331"/>
      <c r="U30" s="333"/>
      <c r="V30" s="333"/>
      <c r="W30" s="384"/>
      <c r="X30" s="383"/>
      <c r="Y30" s="332"/>
      <c r="Z30" s="331"/>
      <c r="AA30" s="331"/>
      <c r="AB30" s="333"/>
      <c r="AC30" s="384"/>
      <c r="AD30" s="375"/>
      <c r="AE30" s="369"/>
      <c r="AF30" s="397"/>
      <c r="AG30" s="328"/>
      <c r="AH30" s="328"/>
      <c r="AI30" s="328"/>
      <c r="AJ30" s="328"/>
      <c r="AK30" s="328"/>
      <c r="AL30" s="328"/>
      <c r="AM30" s="328"/>
      <c r="AN30" s="398"/>
      <c r="AO30" s="402" t="str">
        <f>IF(ISBLANK(tblData[[#This Row],[Surname]]),"",IF(tblData[[#This Row],[Bill Accred Fee]]=0,"NO","YES"))</f>
        <v/>
      </c>
      <c r="AP30" s="406">
        <f>IF(AND(NOT(ISBLANK(tblData[[#This Row],[Surname]])),COUNTA(tblData[[#This Row],[Day 1]:[Day 9]])=0),1,0)</f>
        <v>0</v>
      </c>
      <c r="AQ30" s="406">
        <f>IF(AND(NOT(ISBLANK(tblData[[#This Row],[Surname]])),tblData[[#This Row],[Position]]="Athlete"),1,0)</f>
        <v>0</v>
      </c>
      <c r="AR30" s="433">
        <f>EntryFee*tblData[[#This Row],[Entry Fee Billable]]</f>
        <v>0</v>
      </c>
      <c r="AS30" s="410" t="e">
        <f>IF(ISBLANK(SelectedCategory),"No Cat!",IF(ISBLANK($F30),0,IFERROR(VLOOKUP(AS$12&amp;", "&amp;tblData[[#This Row],[Day 1]],tblAccommodationCosts[],5,FALSE),0)+IFERROR(VLOOKUP(AS$12&amp;", "&amp;tblData[[#This Row],[Day 2]],tblAccommodationCosts[],5,FALSE),0)+IFERROR(VLOOKUP(AS$12&amp;", "&amp;tblData[[#This Row],[Day 3]],tblAccommodationCosts[],5,FALSE),0)+IFERROR(VLOOKUP(AS$12&amp;", "&amp;tblData[[#This Row],[Day 4]],tblAccommodationCosts[],5,FALSE),0)+IFERROR(VLOOKUP(AS$12&amp;", "&amp;tblData[[#This Row],[Day 5]],tblAccommodationCosts[],5,FALSE),0)+IFERROR(VLOOKUP(AS$12&amp;", "&amp;tblData[[#This Row],[Day 6]],tblAccommodationCosts[],5,FALSE),0)+IFERROR(VLOOKUP(AS$12&amp;", "&amp;tblData[[#This Row],[Day 7]],tblAccommodationCosts[],5,FALSE),0)+IFERROR(VLOOKUP(AS$12&amp;", "&amp;tblData[[#This Row],[Day 8]],tblAccommodationCosts[],5,FALSE),0)+IFERROR(VLOOKUP(AS$12&amp;", "&amp;tblData[[#This Row],[Day 9]],tblAccommodationCosts[],5,FALSE),0)+AccreditationFee*tblData[[#This Row],[Bill Accred Fee]]))+tblData[[#This Row],[Entry Fee]]</f>
        <v>#VALUE!</v>
      </c>
      <c r="AT30" s="324" t="str">
        <f>IFERROR(VLOOKUP(tblData[[#This Row],[Weight Category, Function, and Gender]],tblWeightOrFunction[],3,0),"")</f>
        <v/>
      </c>
      <c r="AU30" s="84" t="str">
        <f>IFERROR(VLOOKUP(tblData[[#This Row],[Weight Category, Function, and Gender]],tblWeightOrFunction[],4,0),"")</f>
        <v/>
      </c>
      <c r="AV30" s="85" t="str">
        <f>IFERROR(VLOOKUP(tblData[[#This Row],[Weight Category, Function, and Gender]],tblWeightOrFunction[],7,0),"")</f>
        <v/>
      </c>
      <c r="AW30" s="84" t="str">
        <f>IFERROR(VLOOKUP(tblData[[#This Row],[Weight Category, Function, and Gender]],tblWeightOrFunction[],6,0),"")</f>
        <v/>
      </c>
      <c r="AX30" s="84" t="str">
        <f>IFERROR(VLOOKUP(tblData[[#This Row],[Weight Category, Function, and Gender]],tblWeightOrFunction[],2,0),"")</f>
        <v/>
      </c>
      <c r="AY30" s="75">
        <f>tblData[[#This Row],[Arr Date]]+tblData[[#This Row],[Arr Time]]</f>
        <v>0</v>
      </c>
      <c r="AZ30" s="75">
        <f>tblData[[#This Row],[Dep Date]]+tblData[[#This Row],[Dep Time]]</f>
        <v>0</v>
      </c>
      <c r="BA30" s="72">
        <f>COUNTIF(tblData[Surname],"&lt;="&amp;tblData[Surname])</f>
        <v>0</v>
      </c>
      <c r="BB30" s="72">
        <f>COUNTIF(tblData[Given name],"&lt;="&amp;tblData[Given name])</f>
        <v>0</v>
      </c>
      <c r="BC30" s="72">
        <f>COUNTIF(tblData[Arr DateTime],"&lt;="&amp;tblData[Arr DateTime])</f>
        <v>110</v>
      </c>
      <c r="BD30" s="72">
        <f>COUNTIF(tblData[Dep DateTime],"&lt;="&amp;tblData[Dep DateTime])</f>
        <v>110</v>
      </c>
      <c r="BE30" s="72">
        <f>COUNTIF(tblData[ShuttleAtDeparture],"&lt;="&amp;tblData[ShuttleAtDeparture])</f>
        <v>0</v>
      </c>
      <c r="BI30" s="6" t="str">
        <f t="array" ref="BI30">IF(ROWS(tblData[[#Headers],[Id]]:tblData[[#This Row],[Id]])-1&gt;$BI$11,"",INDEX(tblData[Id],SMALL(IF(LEN(TRIM(tblData[Surname]))*((tblData[Type]=$BI$9)+(tblData[Type]=$BI$10)),ROW(tblData[Id])-ROW(tblData[[#Headers],[Id]])),ROWS(tblData[[#Headers],[Id]]:tblData[[#This Row],[Id]])-1)))</f>
        <v/>
      </c>
      <c r="BK30" s="6" t="str">
        <f>IF(ROWS(tblCoachesAndOfficialsSorted[[#Headers],[Id]]:tblCoachesAndOfficialsSorted[[#This Row],[Id]])-1&gt;$BK$11,"",SMALL(tblCoachesAndOfficials[Id],ROWS(tblCoachesAndOfficialsSorted[[#Headers],[Id]]:tblCoachesAndOfficialsSorted[[#This Row],[Id]])-1))</f>
        <v/>
      </c>
      <c r="BM30" s="6" t="str">
        <f t="array" ref="BM30">IF(ROWS(tblData[[#Headers],[Id]]:tblData[[#This Row],[Id]])-1&gt;$BM$11,"",INDEX(tblData[Id],SMALL(IF(LEN(TRIM(tblData[Surname]))*(tblData[Type]=$BM$9),ROW(tblData[Id])-ROW(tblData[[#Headers],[Id]])),ROWS(tblData[[#Headers],[Id]]:tblData[[#This Row],[Id]])-1)))</f>
        <v/>
      </c>
      <c r="BO30" s="6" t="str">
        <f>IF(ROWS(tblWomenSorted[[#Headers],[Id]]:tblWomenSorted[[#This Row],[Id]])-1&gt;$BO$11,"",SMALL(tblWomen[Id],ROWS(tblWomenSorted[[#Headers],[Id]]:tblWomenSorted[[#This Row],[Id]])-1))</f>
        <v/>
      </c>
      <c r="BP30" s="17"/>
      <c r="BQ30" s="6" t="str">
        <f t="array" ref="BQ30">IF(ROWS(tblData[[#Headers],[Id]]:tblData[[#This Row],[Id]])-1&gt;$BQ$11,"",INDEX(tblData[Id],SMALL(IF(LEN(TRIM(tblData[Surname]))*(tblData[Type]=$BQ$9),ROW(tblData[Id])-ROW(tblData[[#Headers],[Id]])),ROWS(tblData[[#Headers],[Id]]:tblData[[#This Row],[Id]])-1)))</f>
        <v/>
      </c>
      <c r="BS30" s="6" t="str">
        <f>IF(ROWS(tblMenSorted[[#Headers],[Id]]:tblMenSorted[[#This Row],[Id]])-1&gt;$BS$11,"",SMALL(tblMen[Id],ROWS(tblMenSorted[[#Headers],[Id]]:tblMenSorted[[#This Row],[Id]])-1))</f>
        <v/>
      </c>
      <c r="BU30" s="6" t="str">
        <f t="array" ref="BU30">IF(ROWS(tblData[[#Headers],[Sorted Name Id]]:tblData[[#This Row],[Sorted Name Id]])-1&gt;$BU$11,"",INDEX(tblData[Sorted Name Id],SMALL(IF(LEN(TRIM(tblData[Surname]))*(tblData[Visa required]="YES"),ROW(tblData[Sorted Name Id])-ROW(tblData[[#Headers],[Sorted Name Id]])),ROWS(tblData[[#Headers],[Sorted Name Id]]:tblData[[#This Row],[Sorted Name Id]])-1)))</f>
        <v/>
      </c>
      <c r="BW30" s="6" t="str">
        <f>IF(ROWS(tblVisasSorted[[#Headers],[Id]]:tblVisasSorted[[#This Row],[Id]])-1&gt;$BW$11,"",SMALL(tblVisas[Id],ROWS(tblVisasSorted[[#Headers],[Id]]:tblVisasSorted[[#This Row],[Id]])-1))</f>
        <v/>
      </c>
      <c r="BY30" s="6" t="str">
        <f t="array" ref="BY30">IF(ROWS(tblData[[#Headers],[Sorted Arr Id]]:tblData[[#This Row],[Sorted Arr Id]])-1&gt;$BY$11,"",INDEX(tblData[Sorted Arr Id],SMALL(IF(LEN(TRIM(tblData[Surname]))*(tblData[Arr DateTime]&gt;0),ROW(tblData[Sorted Arr Id])-ROW(tblData[[#Headers],[Sorted Arr Id]])),ROWS(tblData[[#Headers],[Sorted Arr Id]]:tblData[[#This Row],[Sorted Arr Id]])-1)))</f>
        <v/>
      </c>
      <c r="CA30" s="6" t="str">
        <f>IF(ROWS(tblArrivalSorted[[#Headers],[Id]]:tblArrivalSorted[[#This Row],[Id]])-1&gt;$CA$11,"",SMALL(tblArrival[Id],ROWS(tblArrivalSorted[[#Headers],[Id]]:tblArrivalSorted[[#This Row],[Id]])-1))</f>
        <v/>
      </c>
      <c r="CC30" s="6" t="str">
        <f t="array" ref="CC30">IF(ROWS(tblData[[#Headers],[Sorted Dep Id]]:tblData[[#This Row],[Sorted Dep Id]])-1&gt;$CC$11,"",INDEX(tblData[Sorted Dep Id],SMALL(IF(LEN(TRIM(tblData[Surname]))*(tblData[Dep DateTime]&gt;0),ROW(tblData[Sorted Dep Id])-ROW(tblData[[#Headers],[Sorted Dep Id]])),ROWS(tblData[[#Headers],[Sorted Dep Id]]:tblData[[#This Row],[Sorted Dep Id]])-1)))</f>
        <v/>
      </c>
      <c r="CE30" s="6" t="str">
        <f>IF(ROWS(tblDepartureSorted[[#Headers],[Id]]:tblDepartureSorted[[#This Row],[Id]])-1&gt;$CE$11,"",SMALL(tblDeparture[Id],ROWS(tblDepartureSorted[[#Headers],[Id]]:tblDepartureSorted[[#This Row],[Id]])-1))</f>
        <v/>
      </c>
      <c r="CG30" s="6" t="str">
        <f t="array" ref="CG30">IF(ROWS(tblData[[#Headers],[Id]]:tblData[[#This Row],[Id]])-1&gt;$CG$11,"",INDEX(tblData[Id],SMALL(IF(LEN(TRIM(tblData[Surname])),ROW(tblData[Id])-ROW(tblData[[#Headers],[Id]])),ROWS(tblData[[#Headers],[Id]]:tblData[[#This Row],[Id]])-1)))</f>
        <v/>
      </c>
    </row>
    <row r="31" spans="1:85" s="6" customFormat="1">
      <c r="A31" s="14">
        <f>IF(ISNUMBER(tblData[[#This Row],[SubType2]]),tblData[[#This Row],[SubType2]]*10000+tblData[[#This Row],[No]],1000000+tblData[[#This Row],[No]])</f>
        <v>1000018</v>
      </c>
      <c r="B31" s="14">
        <f>IFERROR(tblData[[#This Row],[Surname Rang]]*1000+tblData[[#This Row],[Given Name Rang]]+tblData[[#This Row],[No]]/1000,"")</f>
        <v>1.7999999999999999E-2</v>
      </c>
      <c r="C31" s="14">
        <f>IFERROR(tblData[[#This Row],[Arr DateTime Rang]]+tblData[[#This Row],[No]]/1000,"")</f>
        <v>110.018</v>
      </c>
      <c r="D31" s="14">
        <f>IFERROR(tblData[[#This Row],[Dep DateTime Rang]]+tblData[[#This Row],[No]]/1000,"")</f>
        <v>110.018</v>
      </c>
      <c r="E31" s="362">
        <f t="shared" si="1"/>
        <v>18</v>
      </c>
      <c r="F31" s="370"/>
      <c r="G31" s="331"/>
      <c r="H31" s="328"/>
      <c r="I31" s="329"/>
      <c r="J31" s="330"/>
      <c r="K31" s="369"/>
      <c r="L31" s="375"/>
      <c r="M31" s="331"/>
      <c r="N31" s="331"/>
      <c r="O31" s="331"/>
      <c r="P31" s="329"/>
      <c r="Q31" s="376"/>
      <c r="R31" s="383"/>
      <c r="S31" s="332"/>
      <c r="T31" s="331"/>
      <c r="U31" s="333"/>
      <c r="V31" s="333"/>
      <c r="W31" s="384"/>
      <c r="X31" s="383"/>
      <c r="Y31" s="332"/>
      <c r="Z31" s="331"/>
      <c r="AA31" s="331"/>
      <c r="AB31" s="333"/>
      <c r="AC31" s="384"/>
      <c r="AD31" s="375"/>
      <c r="AE31" s="369"/>
      <c r="AF31" s="397"/>
      <c r="AG31" s="328"/>
      <c r="AH31" s="328"/>
      <c r="AI31" s="328"/>
      <c r="AJ31" s="328"/>
      <c r="AK31" s="328"/>
      <c r="AL31" s="328"/>
      <c r="AM31" s="328"/>
      <c r="AN31" s="398"/>
      <c r="AO31" s="402" t="str">
        <f>IF(ISBLANK(tblData[[#This Row],[Surname]]),"",IF(tblData[[#This Row],[Bill Accred Fee]]=0,"NO","YES"))</f>
        <v/>
      </c>
      <c r="AP31" s="406">
        <f>IF(AND(NOT(ISBLANK(tblData[[#This Row],[Surname]])),COUNTA(tblData[[#This Row],[Day 1]:[Day 9]])=0),1,0)</f>
        <v>0</v>
      </c>
      <c r="AQ31" s="406">
        <f>IF(AND(NOT(ISBLANK(tblData[[#This Row],[Surname]])),tblData[[#This Row],[Position]]="Athlete"),1,0)</f>
        <v>0</v>
      </c>
      <c r="AR31" s="433">
        <f>EntryFee*tblData[[#This Row],[Entry Fee Billable]]</f>
        <v>0</v>
      </c>
      <c r="AS31" s="410" t="e">
        <f>IF(ISBLANK(SelectedCategory),"No Cat!",IF(ISBLANK($F31),0,IFERROR(VLOOKUP(AS$12&amp;", "&amp;tblData[[#This Row],[Day 1]],tblAccommodationCosts[],5,FALSE),0)+IFERROR(VLOOKUP(AS$12&amp;", "&amp;tblData[[#This Row],[Day 2]],tblAccommodationCosts[],5,FALSE),0)+IFERROR(VLOOKUP(AS$12&amp;", "&amp;tblData[[#This Row],[Day 3]],tblAccommodationCosts[],5,FALSE),0)+IFERROR(VLOOKUP(AS$12&amp;", "&amp;tblData[[#This Row],[Day 4]],tblAccommodationCosts[],5,FALSE),0)+IFERROR(VLOOKUP(AS$12&amp;", "&amp;tblData[[#This Row],[Day 5]],tblAccommodationCosts[],5,FALSE),0)+IFERROR(VLOOKUP(AS$12&amp;", "&amp;tblData[[#This Row],[Day 6]],tblAccommodationCosts[],5,FALSE),0)+IFERROR(VLOOKUP(AS$12&amp;", "&amp;tblData[[#This Row],[Day 7]],tblAccommodationCosts[],5,FALSE),0)+IFERROR(VLOOKUP(AS$12&amp;", "&amp;tblData[[#This Row],[Day 8]],tblAccommodationCosts[],5,FALSE),0)+IFERROR(VLOOKUP(AS$12&amp;", "&amp;tblData[[#This Row],[Day 9]],tblAccommodationCosts[],5,FALSE),0)+AccreditationFee*tblData[[#This Row],[Bill Accred Fee]]))+tblData[[#This Row],[Entry Fee]]</f>
        <v>#VALUE!</v>
      </c>
      <c r="AT31" s="324" t="str">
        <f>IFERROR(VLOOKUP(tblData[[#This Row],[Weight Category, Function, and Gender]],tblWeightOrFunction[],3,0),"")</f>
        <v/>
      </c>
      <c r="AU31" s="84" t="str">
        <f>IFERROR(VLOOKUP(tblData[[#This Row],[Weight Category, Function, and Gender]],tblWeightOrFunction[],4,0),"")</f>
        <v/>
      </c>
      <c r="AV31" s="85" t="str">
        <f>IFERROR(VLOOKUP(tblData[[#This Row],[Weight Category, Function, and Gender]],tblWeightOrFunction[],7,0),"")</f>
        <v/>
      </c>
      <c r="AW31" s="84" t="str">
        <f>IFERROR(VLOOKUP(tblData[[#This Row],[Weight Category, Function, and Gender]],tblWeightOrFunction[],6,0),"")</f>
        <v/>
      </c>
      <c r="AX31" s="84" t="str">
        <f>IFERROR(VLOOKUP(tblData[[#This Row],[Weight Category, Function, and Gender]],tblWeightOrFunction[],2,0),"")</f>
        <v/>
      </c>
      <c r="AY31" s="75">
        <f>tblData[[#This Row],[Arr Date]]+tblData[[#This Row],[Arr Time]]</f>
        <v>0</v>
      </c>
      <c r="AZ31" s="75">
        <f>tblData[[#This Row],[Dep Date]]+tblData[[#This Row],[Dep Time]]</f>
        <v>0</v>
      </c>
      <c r="BA31" s="72">
        <f>COUNTIF(tblData[Surname],"&lt;="&amp;tblData[Surname])</f>
        <v>0</v>
      </c>
      <c r="BB31" s="72">
        <f>COUNTIF(tblData[Given name],"&lt;="&amp;tblData[Given name])</f>
        <v>0</v>
      </c>
      <c r="BC31" s="72">
        <f>COUNTIF(tblData[Arr DateTime],"&lt;="&amp;tblData[Arr DateTime])</f>
        <v>110</v>
      </c>
      <c r="BD31" s="72">
        <f>COUNTIF(tblData[Dep DateTime],"&lt;="&amp;tblData[Dep DateTime])</f>
        <v>110</v>
      </c>
      <c r="BE31" s="72">
        <f>COUNTIF(tblData[ShuttleAtDeparture],"&lt;="&amp;tblData[ShuttleAtDeparture])</f>
        <v>0</v>
      </c>
      <c r="BI31" s="6" t="str">
        <f t="array" ref="BI31">IF(ROWS(tblData[[#Headers],[Id]]:tblData[[#This Row],[Id]])-1&gt;$BI$11,"",INDEX(tblData[Id],SMALL(IF(LEN(TRIM(tblData[Surname]))*((tblData[Type]=$BI$9)+(tblData[Type]=$BI$10)),ROW(tblData[Id])-ROW(tblData[[#Headers],[Id]])),ROWS(tblData[[#Headers],[Id]]:tblData[[#This Row],[Id]])-1)))</f>
        <v/>
      </c>
      <c r="BK31" s="6" t="str">
        <f>IF(ROWS(tblCoachesAndOfficialsSorted[[#Headers],[Id]]:tblCoachesAndOfficialsSorted[[#This Row],[Id]])-1&gt;$BK$11,"",SMALL(tblCoachesAndOfficials[Id],ROWS(tblCoachesAndOfficialsSorted[[#Headers],[Id]]:tblCoachesAndOfficialsSorted[[#This Row],[Id]])-1))</f>
        <v/>
      </c>
      <c r="BM31" s="6" t="str">
        <f t="array" ref="BM31">IF(ROWS(tblData[[#Headers],[Id]]:tblData[[#This Row],[Id]])-1&gt;$BM$11,"",INDEX(tblData[Id],SMALL(IF(LEN(TRIM(tblData[Surname]))*(tblData[Type]=$BM$9),ROW(tblData[Id])-ROW(tblData[[#Headers],[Id]])),ROWS(tblData[[#Headers],[Id]]:tblData[[#This Row],[Id]])-1)))</f>
        <v/>
      </c>
      <c r="BO31" s="6" t="str">
        <f>IF(ROWS(tblWomenSorted[[#Headers],[Id]]:tblWomenSorted[[#This Row],[Id]])-1&gt;$BO$11,"",SMALL(tblWomen[Id],ROWS(tblWomenSorted[[#Headers],[Id]]:tblWomenSorted[[#This Row],[Id]])-1))</f>
        <v/>
      </c>
      <c r="BP31" s="17"/>
      <c r="BQ31" s="6" t="str">
        <f t="array" ref="BQ31">IF(ROWS(tblData[[#Headers],[Id]]:tblData[[#This Row],[Id]])-1&gt;$BQ$11,"",INDEX(tblData[Id],SMALL(IF(LEN(TRIM(tblData[Surname]))*(tblData[Type]=$BQ$9),ROW(tblData[Id])-ROW(tblData[[#Headers],[Id]])),ROWS(tblData[[#Headers],[Id]]:tblData[[#This Row],[Id]])-1)))</f>
        <v/>
      </c>
      <c r="BS31" s="6" t="str">
        <f>IF(ROWS(tblMenSorted[[#Headers],[Id]]:tblMenSorted[[#This Row],[Id]])-1&gt;$BS$11,"",SMALL(tblMen[Id],ROWS(tblMenSorted[[#Headers],[Id]]:tblMenSorted[[#This Row],[Id]])-1))</f>
        <v/>
      </c>
      <c r="BU31" s="6" t="str">
        <f t="array" ref="BU31">IF(ROWS(tblData[[#Headers],[Sorted Name Id]]:tblData[[#This Row],[Sorted Name Id]])-1&gt;$BU$11,"",INDEX(tblData[Sorted Name Id],SMALL(IF(LEN(TRIM(tblData[Surname]))*(tblData[Visa required]="YES"),ROW(tblData[Sorted Name Id])-ROW(tblData[[#Headers],[Sorted Name Id]])),ROWS(tblData[[#Headers],[Sorted Name Id]]:tblData[[#This Row],[Sorted Name Id]])-1)))</f>
        <v/>
      </c>
      <c r="BW31" s="6" t="str">
        <f>IF(ROWS(tblVisasSorted[[#Headers],[Id]]:tblVisasSorted[[#This Row],[Id]])-1&gt;$BW$11,"",SMALL(tblVisas[Id],ROWS(tblVisasSorted[[#Headers],[Id]]:tblVisasSorted[[#This Row],[Id]])-1))</f>
        <v/>
      </c>
      <c r="BY31" s="6" t="str">
        <f t="array" ref="BY31">IF(ROWS(tblData[[#Headers],[Sorted Arr Id]]:tblData[[#This Row],[Sorted Arr Id]])-1&gt;$BY$11,"",INDEX(tblData[Sorted Arr Id],SMALL(IF(LEN(TRIM(tblData[Surname]))*(tblData[Arr DateTime]&gt;0),ROW(tblData[Sorted Arr Id])-ROW(tblData[[#Headers],[Sorted Arr Id]])),ROWS(tblData[[#Headers],[Sorted Arr Id]]:tblData[[#This Row],[Sorted Arr Id]])-1)))</f>
        <v/>
      </c>
      <c r="CA31" s="6" t="str">
        <f>IF(ROWS(tblArrivalSorted[[#Headers],[Id]]:tblArrivalSorted[[#This Row],[Id]])-1&gt;$CA$11,"",SMALL(tblArrival[Id],ROWS(tblArrivalSorted[[#Headers],[Id]]:tblArrivalSorted[[#This Row],[Id]])-1))</f>
        <v/>
      </c>
      <c r="CC31" s="6" t="str">
        <f t="array" ref="CC31">IF(ROWS(tblData[[#Headers],[Sorted Dep Id]]:tblData[[#This Row],[Sorted Dep Id]])-1&gt;$CC$11,"",INDEX(tblData[Sorted Dep Id],SMALL(IF(LEN(TRIM(tblData[Surname]))*(tblData[Dep DateTime]&gt;0),ROW(tblData[Sorted Dep Id])-ROW(tblData[[#Headers],[Sorted Dep Id]])),ROWS(tblData[[#Headers],[Sorted Dep Id]]:tblData[[#This Row],[Sorted Dep Id]])-1)))</f>
        <v/>
      </c>
      <c r="CE31" s="6" t="str">
        <f>IF(ROWS(tblDepartureSorted[[#Headers],[Id]]:tblDepartureSorted[[#This Row],[Id]])-1&gt;$CE$11,"",SMALL(tblDeparture[Id],ROWS(tblDepartureSorted[[#Headers],[Id]]:tblDepartureSorted[[#This Row],[Id]])-1))</f>
        <v/>
      </c>
      <c r="CG31" s="6" t="str">
        <f t="array" ref="CG31">IF(ROWS(tblData[[#Headers],[Id]]:tblData[[#This Row],[Id]])-1&gt;$CG$11,"",INDEX(tblData[Id],SMALL(IF(LEN(TRIM(tblData[Surname])),ROW(tblData[Id])-ROW(tblData[[#Headers],[Id]])),ROWS(tblData[[#Headers],[Id]]:tblData[[#This Row],[Id]])-1)))</f>
        <v/>
      </c>
    </row>
    <row r="32" spans="1:85" s="6" customFormat="1">
      <c r="A32" s="14">
        <f>IF(ISNUMBER(tblData[[#This Row],[SubType2]]),tblData[[#This Row],[SubType2]]*10000+tblData[[#This Row],[No]],1000000+tblData[[#This Row],[No]])</f>
        <v>1000019</v>
      </c>
      <c r="B32" s="14">
        <f>IFERROR(tblData[[#This Row],[Surname Rang]]*1000+tblData[[#This Row],[Given Name Rang]]+tblData[[#This Row],[No]]/1000,"")</f>
        <v>1.9E-2</v>
      </c>
      <c r="C32" s="14">
        <f>IFERROR(tblData[[#This Row],[Arr DateTime Rang]]+tblData[[#This Row],[No]]/1000,"")</f>
        <v>110.01900000000001</v>
      </c>
      <c r="D32" s="14">
        <f>IFERROR(tblData[[#This Row],[Dep DateTime Rang]]+tblData[[#This Row],[No]]/1000,"")</f>
        <v>110.01900000000001</v>
      </c>
      <c r="E32" s="362">
        <f t="shared" si="1"/>
        <v>19</v>
      </c>
      <c r="F32" s="370"/>
      <c r="G32" s="331"/>
      <c r="H32" s="328"/>
      <c r="I32" s="329"/>
      <c r="J32" s="330"/>
      <c r="K32" s="369"/>
      <c r="L32" s="375"/>
      <c r="M32" s="331"/>
      <c r="N32" s="331"/>
      <c r="O32" s="331"/>
      <c r="P32" s="329"/>
      <c r="Q32" s="376"/>
      <c r="R32" s="383"/>
      <c r="S32" s="332"/>
      <c r="T32" s="331"/>
      <c r="U32" s="333"/>
      <c r="V32" s="333"/>
      <c r="W32" s="384"/>
      <c r="X32" s="383"/>
      <c r="Y32" s="332"/>
      <c r="Z32" s="331"/>
      <c r="AA32" s="331"/>
      <c r="AB32" s="333"/>
      <c r="AC32" s="384"/>
      <c r="AD32" s="375"/>
      <c r="AE32" s="369"/>
      <c r="AF32" s="397"/>
      <c r="AG32" s="328"/>
      <c r="AH32" s="328"/>
      <c r="AI32" s="328"/>
      <c r="AJ32" s="328"/>
      <c r="AK32" s="328"/>
      <c r="AL32" s="328"/>
      <c r="AM32" s="328"/>
      <c r="AN32" s="398"/>
      <c r="AO32" s="402" t="str">
        <f>IF(ISBLANK(tblData[[#This Row],[Surname]]),"",IF(tblData[[#This Row],[Bill Accred Fee]]=0,"NO","YES"))</f>
        <v/>
      </c>
      <c r="AP32" s="406">
        <f>IF(AND(NOT(ISBLANK(tblData[[#This Row],[Surname]])),COUNTA(tblData[[#This Row],[Day 1]:[Day 9]])=0),1,0)</f>
        <v>0</v>
      </c>
      <c r="AQ32" s="406">
        <f>IF(AND(NOT(ISBLANK(tblData[[#This Row],[Surname]])),tblData[[#This Row],[Position]]="Athlete"),1,0)</f>
        <v>0</v>
      </c>
      <c r="AR32" s="433">
        <f>EntryFee*tblData[[#This Row],[Entry Fee Billable]]</f>
        <v>0</v>
      </c>
      <c r="AS32" s="410" t="e">
        <f>IF(ISBLANK(SelectedCategory),"No Cat!",IF(ISBLANK($F32),0,IFERROR(VLOOKUP(AS$12&amp;", "&amp;tblData[[#This Row],[Day 1]],tblAccommodationCosts[],5,FALSE),0)+IFERROR(VLOOKUP(AS$12&amp;", "&amp;tblData[[#This Row],[Day 2]],tblAccommodationCosts[],5,FALSE),0)+IFERROR(VLOOKUP(AS$12&amp;", "&amp;tblData[[#This Row],[Day 3]],tblAccommodationCosts[],5,FALSE),0)+IFERROR(VLOOKUP(AS$12&amp;", "&amp;tblData[[#This Row],[Day 4]],tblAccommodationCosts[],5,FALSE),0)+IFERROR(VLOOKUP(AS$12&amp;", "&amp;tblData[[#This Row],[Day 5]],tblAccommodationCosts[],5,FALSE),0)+IFERROR(VLOOKUP(AS$12&amp;", "&amp;tblData[[#This Row],[Day 6]],tblAccommodationCosts[],5,FALSE),0)+IFERROR(VLOOKUP(AS$12&amp;", "&amp;tblData[[#This Row],[Day 7]],tblAccommodationCosts[],5,FALSE),0)+IFERROR(VLOOKUP(AS$12&amp;", "&amp;tblData[[#This Row],[Day 8]],tblAccommodationCosts[],5,FALSE),0)+IFERROR(VLOOKUP(AS$12&amp;", "&amp;tblData[[#This Row],[Day 9]],tblAccommodationCosts[],5,FALSE),0)+AccreditationFee*tblData[[#This Row],[Bill Accred Fee]]))+tblData[[#This Row],[Entry Fee]]</f>
        <v>#VALUE!</v>
      </c>
      <c r="AT32" s="324" t="str">
        <f>IFERROR(VLOOKUP(tblData[[#This Row],[Weight Category, Function, and Gender]],tblWeightOrFunction[],3,0),"")</f>
        <v/>
      </c>
      <c r="AU32" s="84" t="str">
        <f>IFERROR(VLOOKUP(tblData[[#This Row],[Weight Category, Function, and Gender]],tblWeightOrFunction[],4,0),"")</f>
        <v/>
      </c>
      <c r="AV32" s="85" t="str">
        <f>IFERROR(VLOOKUP(tblData[[#This Row],[Weight Category, Function, and Gender]],tblWeightOrFunction[],7,0),"")</f>
        <v/>
      </c>
      <c r="AW32" s="84" t="str">
        <f>IFERROR(VLOOKUP(tblData[[#This Row],[Weight Category, Function, and Gender]],tblWeightOrFunction[],6,0),"")</f>
        <v/>
      </c>
      <c r="AX32" s="84" t="str">
        <f>IFERROR(VLOOKUP(tblData[[#This Row],[Weight Category, Function, and Gender]],tblWeightOrFunction[],2,0),"")</f>
        <v/>
      </c>
      <c r="AY32" s="75">
        <f>tblData[[#This Row],[Arr Date]]+tblData[[#This Row],[Arr Time]]</f>
        <v>0</v>
      </c>
      <c r="AZ32" s="75">
        <f>tblData[[#This Row],[Dep Date]]+tblData[[#This Row],[Dep Time]]</f>
        <v>0</v>
      </c>
      <c r="BA32" s="72">
        <f>COUNTIF(tblData[Surname],"&lt;="&amp;tblData[Surname])</f>
        <v>0</v>
      </c>
      <c r="BB32" s="72">
        <f>COUNTIF(tblData[Given name],"&lt;="&amp;tblData[Given name])</f>
        <v>0</v>
      </c>
      <c r="BC32" s="72">
        <f>COUNTIF(tblData[Arr DateTime],"&lt;="&amp;tblData[Arr DateTime])</f>
        <v>110</v>
      </c>
      <c r="BD32" s="72">
        <f>COUNTIF(tblData[Dep DateTime],"&lt;="&amp;tblData[Dep DateTime])</f>
        <v>110</v>
      </c>
      <c r="BE32" s="72">
        <f>COUNTIF(tblData[ShuttleAtDeparture],"&lt;="&amp;tblData[ShuttleAtDeparture])</f>
        <v>0</v>
      </c>
      <c r="BI32" s="6" t="str">
        <f t="array" ref="BI32">IF(ROWS(tblData[[#Headers],[Id]]:tblData[[#This Row],[Id]])-1&gt;$BI$11,"",INDEX(tblData[Id],SMALL(IF(LEN(TRIM(tblData[Surname]))*((tblData[Type]=$BI$9)+(tblData[Type]=$BI$10)),ROW(tblData[Id])-ROW(tblData[[#Headers],[Id]])),ROWS(tblData[[#Headers],[Id]]:tblData[[#This Row],[Id]])-1)))</f>
        <v/>
      </c>
      <c r="BK32" s="6" t="str">
        <f>IF(ROWS(tblCoachesAndOfficialsSorted[[#Headers],[Id]]:tblCoachesAndOfficialsSorted[[#This Row],[Id]])-1&gt;$BK$11,"",SMALL(tblCoachesAndOfficials[Id],ROWS(tblCoachesAndOfficialsSorted[[#Headers],[Id]]:tblCoachesAndOfficialsSorted[[#This Row],[Id]])-1))</f>
        <v/>
      </c>
      <c r="BM32" s="6" t="str">
        <f t="array" ref="BM32">IF(ROWS(tblData[[#Headers],[Id]]:tblData[[#This Row],[Id]])-1&gt;$BM$11,"",INDEX(tblData[Id],SMALL(IF(LEN(TRIM(tblData[Surname]))*(tblData[Type]=$BM$9),ROW(tblData[Id])-ROW(tblData[[#Headers],[Id]])),ROWS(tblData[[#Headers],[Id]]:tblData[[#This Row],[Id]])-1)))</f>
        <v/>
      </c>
      <c r="BO32" s="6" t="str">
        <f>IF(ROWS(tblWomenSorted[[#Headers],[Id]]:tblWomenSorted[[#This Row],[Id]])-1&gt;$BO$11,"",SMALL(tblWomen[Id],ROWS(tblWomenSorted[[#Headers],[Id]]:tblWomenSorted[[#This Row],[Id]])-1))</f>
        <v/>
      </c>
      <c r="BP32" s="17"/>
      <c r="BQ32" s="6" t="str">
        <f t="array" ref="BQ32">IF(ROWS(tblData[[#Headers],[Id]]:tblData[[#This Row],[Id]])-1&gt;$BQ$11,"",INDEX(tblData[Id],SMALL(IF(LEN(TRIM(tblData[Surname]))*(tblData[Type]=$BQ$9),ROW(tblData[Id])-ROW(tblData[[#Headers],[Id]])),ROWS(tblData[[#Headers],[Id]]:tblData[[#This Row],[Id]])-1)))</f>
        <v/>
      </c>
      <c r="BS32" s="6" t="str">
        <f>IF(ROWS(tblMenSorted[[#Headers],[Id]]:tblMenSorted[[#This Row],[Id]])-1&gt;$BS$11,"",SMALL(tblMen[Id],ROWS(tblMenSorted[[#Headers],[Id]]:tblMenSorted[[#This Row],[Id]])-1))</f>
        <v/>
      </c>
      <c r="BU32" s="6" t="str">
        <f t="array" ref="BU32">IF(ROWS(tblData[[#Headers],[Sorted Name Id]]:tblData[[#This Row],[Sorted Name Id]])-1&gt;$BU$11,"",INDEX(tblData[Sorted Name Id],SMALL(IF(LEN(TRIM(tblData[Surname]))*(tblData[Visa required]="YES"),ROW(tblData[Sorted Name Id])-ROW(tblData[[#Headers],[Sorted Name Id]])),ROWS(tblData[[#Headers],[Sorted Name Id]]:tblData[[#This Row],[Sorted Name Id]])-1)))</f>
        <v/>
      </c>
      <c r="BW32" s="6" t="str">
        <f>IF(ROWS(tblVisasSorted[[#Headers],[Id]]:tblVisasSorted[[#This Row],[Id]])-1&gt;$BW$11,"",SMALL(tblVisas[Id],ROWS(tblVisasSorted[[#Headers],[Id]]:tblVisasSorted[[#This Row],[Id]])-1))</f>
        <v/>
      </c>
      <c r="BY32" s="6" t="str">
        <f t="array" ref="BY32">IF(ROWS(tblData[[#Headers],[Sorted Arr Id]]:tblData[[#This Row],[Sorted Arr Id]])-1&gt;$BY$11,"",INDEX(tblData[Sorted Arr Id],SMALL(IF(LEN(TRIM(tblData[Surname]))*(tblData[Arr DateTime]&gt;0),ROW(tblData[Sorted Arr Id])-ROW(tblData[[#Headers],[Sorted Arr Id]])),ROWS(tblData[[#Headers],[Sorted Arr Id]]:tblData[[#This Row],[Sorted Arr Id]])-1)))</f>
        <v/>
      </c>
      <c r="CA32" s="6" t="str">
        <f>IF(ROWS(tblArrivalSorted[[#Headers],[Id]]:tblArrivalSorted[[#This Row],[Id]])-1&gt;$CA$11,"",SMALL(tblArrival[Id],ROWS(tblArrivalSorted[[#Headers],[Id]]:tblArrivalSorted[[#This Row],[Id]])-1))</f>
        <v/>
      </c>
      <c r="CC32" s="6" t="str">
        <f t="array" ref="CC32">IF(ROWS(tblData[[#Headers],[Sorted Dep Id]]:tblData[[#This Row],[Sorted Dep Id]])-1&gt;$CC$11,"",INDEX(tblData[Sorted Dep Id],SMALL(IF(LEN(TRIM(tblData[Surname]))*(tblData[Dep DateTime]&gt;0),ROW(tblData[Sorted Dep Id])-ROW(tblData[[#Headers],[Sorted Dep Id]])),ROWS(tblData[[#Headers],[Sorted Dep Id]]:tblData[[#This Row],[Sorted Dep Id]])-1)))</f>
        <v/>
      </c>
      <c r="CE32" s="6" t="str">
        <f>IF(ROWS(tblDepartureSorted[[#Headers],[Id]]:tblDepartureSorted[[#This Row],[Id]])-1&gt;$CE$11,"",SMALL(tblDeparture[Id],ROWS(tblDepartureSorted[[#Headers],[Id]]:tblDepartureSorted[[#This Row],[Id]])-1))</f>
        <v/>
      </c>
      <c r="CG32" s="6" t="str">
        <f t="array" ref="CG32">IF(ROWS(tblData[[#Headers],[Id]]:tblData[[#This Row],[Id]])-1&gt;$CG$11,"",INDEX(tblData[Id],SMALL(IF(LEN(TRIM(tblData[Surname])),ROW(tblData[Id])-ROW(tblData[[#Headers],[Id]])),ROWS(tblData[[#Headers],[Id]]:tblData[[#This Row],[Id]])-1)))</f>
        <v/>
      </c>
    </row>
    <row r="33" spans="1:85" s="6" customFormat="1">
      <c r="A33" s="14">
        <f>IF(ISNUMBER(tblData[[#This Row],[SubType2]]),tblData[[#This Row],[SubType2]]*10000+tblData[[#This Row],[No]],1000000+tblData[[#This Row],[No]])</f>
        <v>1000020</v>
      </c>
      <c r="B33" s="14">
        <f>IFERROR(tblData[[#This Row],[Surname Rang]]*1000+tblData[[#This Row],[Given Name Rang]]+tblData[[#This Row],[No]]/1000,"")</f>
        <v>0.02</v>
      </c>
      <c r="C33" s="14">
        <f>IFERROR(tblData[[#This Row],[Arr DateTime Rang]]+tblData[[#This Row],[No]]/1000,"")</f>
        <v>110.02</v>
      </c>
      <c r="D33" s="14">
        <f>IFERROR(tblData[[#This Row],[Dep DateTime Rang]]+tblData[[#This Row],[No]]/1000,"")</f>
        <v>110.02</v>
      </c>
      <c r="E33" s="362">
        <f t="shared" si="1"/>
        <v>20</v>
      </c>
      <c r="F33" s="370"/>
      <c r="G33" s="331"/>
      <c r="H33" s="328"/>
      <c r="I33" s="329"/>
      <c r="J33" s="330"/>
      <c r="K33" s="369"/>
      <c r="L33" s="375"/>
      <c r="M33" s="331"/>
      <c r="N33" s="331"/>
      <c r="O33" s="331"/>
      <c r="P33" s="329"/>
      <c r="Q33" s="376"/>
      <c r="R33" s="383"/>
      <c r="S33" s="332"/>
      <c r="T33" s="331"/>
      <c r="U33" s="333"/>
      <c r="V33" s="333"/>
      <c r="W33" s="384"/>
      <c r="X33" s="383"/>
      <c r="Y33" s="332"/>
      <c r="Z33" s="331"/>
      <c r="AA33" s="331"/>
      <c r="AB33" s="333"/>
      <c r="AC33" s="384"/>
      <c r="AD33" s="375"/>
      <c r="AE33" s="369"/>
      <c r="AF33" s="397"/>
      <c r="AG33" s="328"/>
      <c r="AH33" s="328"/>
      <c r="AI33" s="328"/>
      <c r="AJ33" s="328"/>
      <c r="AK33" s="328"/>
      <c r="AL33" s="328"/>
      <c r="AM33" s="328"/>
      <c r="AN33" s="398"/>
      <c r="AO33" s="402" t="str">
        <f>IF(ISBLANK(tblData[[#This Row],[Surname]]),"",IF(tblData[[#This Row],[Bill Accred Fee]]=0,"NO","YES"))</f>
        <v/>
      </c>
      <c r="AP33" s="406">
        <f>IF(AND(NOT(ISBLANK(tblData[[#This Row],[Surname]])),COUNTA(tblData[[#This Row],[Day 1]:[Day 9]])=0),1,0)</f>
        <v>0</v>
      </c>
      <c r="AQ33" s="406">
        <f>IF(AND(NOT(ISBLANK(tblData[[#This Row],[Surname]])),tblData[[#This Row],[Position]]="Athlete"),1,0)</f>
        <v>0</v>
      </c>
      <c r="AR33" s="433">
        <f>EntryFee*tblData[[#This Row],[Entry Fee Billable]]</f>
        <v>0</v>
      </c>
      <c r="AS33" s="410" t="e">
        <f>IF(ISBLANK(SelectedCategory),"No Cat!",IF(ISBLANK($F33),0,IFERROR(VLOOKUP(AS$12&amp;", "&amp;tblData[[#This Row],[Day 1]],tblAccommodationCosts[],5,FALSE),0)+IFERROR(VLOOKUP(AS$12&amp;", "&amp;tblData[[#This Row],[Day 2]],tblAccommodationCosts[],5,FALSE),0)+IFERROR(VLOOKUP(AS$12&amp;", "&amp;tblData[[#This Row],[Day 3]],tblAccommodationCosts[],5,FALSE),0)+IFERROR(VLOOKUP(AS$12&amp;", "&amp;tblData[[#This Row],[Day 4]],tblAccommodationCosts[],5,FALSE),0)+IFERROR(VLOOKUP(AS$12&amp;", "&amp;tblData[[#This Row],[Day 5]],tblAccommodationCosts[],5,FALSE),0)+IFERROR(VLOOKUP(AS$12&amp;", "&amp;tblData[[#This Row],[Day 6]],tblAccommodationCosts[],5,FALSE),0)+IFERROR(VLOOKUP(AS$12&amp;", "&amp;tblData[[#This Row],[Day 7]],tblAccommodationCosts[],5,FALSE),0)+IFERROR(VLOOKUP(AS$12&amp;", "&amp;tblData[[#This Row],[Day 8]],tblAccommodationCosts[],5,FALSE),0)+IFERROR(VLOOKUP(AS$12&amp;", "&amp;tblData[[#This Row],[Day 9]],tblAccommodationCosts[],5,FALSE),0)+AccreditationFee*tblData[[#This Row],[Bill Accred Fee]]))+tblData[[#This Row],[Entry Fee]]</f>
        <v>#VALUE!</v>
      </c>
      <c r="AT33" s="324" t="str">
        <f>IFERROR(VLOOKUP(tblData[[#This Row],[Weight Category, Function, and Gender]],tblWeightOrFunction[],3,0),"")</f>
        <v/>
      </c>
      <c r="AU33" s="84" t="str">
        <f>IFERROR(VLOOKUP(tblData[[#This Row],[Weight Category, Function, and Gender]],tblWeightOrFunction[],4,0),"")</f>
        <v/>
      </c>
      <c r="AV33" s="85" t="str">
        <f>IFERROR(VLOOKUP(tblData[[#This Row],[Weight Category, Function, and Gender]],tblWeightOrFunction[],7,0),"")</f>
        <v/>
      </c>
      <c r="AW33" s="84" t="str">
        <f>IFERROR(VLOOKUP(tblData[[#This Row],[Weight Category, Function, and Gender]],tblWeightOrFunction[],6,0),"")</f>
        <v/>
      </c>
      <c r="AX33" s="84" t="str">
        <f>IFERROR(VLOOKUP(tblData[[#This Row],[Weight Category, Function, and Gender]],tblWeightOrFunction[],2,0),"")</f>
        <v/>
      </c>
      <c r="AY33" s="75">
        <f>tblData[[#This Row],[Arr Date]]+tblData[[#This Row],[Arr Time]]</f>
        <v>0</v>
      </c>
      <c r="AZ33" s="75">
        <f>tblData[[#This Row],[Dep Date]]+tblData[[#This Row],[Dep Time]]</f>
        <v>0</v>
      </c>
      <c r="BA33" s="72">
        <f>COUNTIF(tblData[Surname],"&lt;="&amp;tblData[Surname])</f>
        <v>0</v>
      </c>
      <c r="BB33" s="72">
        <f>COUNTIF(tblData[Given name],"&lt;="&amp;tblData[Given name])</f>
        <v>0</v>
      </c>
      <c r="BC33" s="72">
        <f>COUNTIF(tblData[Arr DateTime],"&lt;="&amp;tblData[Arr DateTime])</f>
        <v>110</v>
      </c>
      <c r="BD33" s="72">
        <f>COUNTIF(tblData[Dep DateTime],"&lt;="&amp;tblData[Dep DateTime])</f>
        <v>110</v>
      </c>
      <c r="BE33" s="72">
        <f>COUNTIF(tblData[ShuttleAtDeparture],"&lt;="&amp;tblData[ShuttleAtDeparture])</f>
        <v>0</v>
      </c>
      <c r="BI33" s="6" t="str">
        <f t="array" ref="BI33">IF(ROWS(tblData[[#Headers],[Id]]:tblData[[#This Row],[Id]])-1&gt;$BI$11,"",INDEX(tblData[Id],SMALL(IF(LEN(TRIM(tblData[Surname]))*((tblData[Type]=$BI$9)+(tblData[Type]=$BI$10)),ROW(tblData[Id])-ROW(tblData[[#Headers],[Id]])),ROWS(tblData[[#Headers],[Id]]:tblData[[#This Row],[Id]])-1)))</f>
        <v/>
      </c>
      <c r="BK33" s="6" t="str">
        <f>IF(ROWS(tblCoachesAndOfficialsSorted[[#Headers],[Id]]:tblCoachesAndOfficialsSorted[[#This Row],[Id]])-1&gt;$BK$11,"",SMALL(tblCoachesAndOfficials[Id],ROWS(tblCoachesAndOfficialsSorted[[#Headers],[Id]]:tblCoachesAndOfficialsSorted[[#This Row],[Id]])-1))</f>
        <v/>
      </c>
      <c r="BM33" s="6" t="str">
        <f t="array" ref="BM33">IF(ROWS(tblData[[#Headers],[Id]]:tblData[[#This Row],[Id]])-1&gt;$BM$11,"",INDEX(tblData[Id],SMALL(IF(LEN(TRIM(tblData[Surname]))*(tblData[Type]=$BM$9),ROW(tblData[Id])-ROW(tblData[[#Headers],[Id]])),ROWS(tblData[[#Headers],[Id]]:tblData[[#This Row],[Id]])-1)))</f>
        <v/>
      </c>
      <c r="BO33" s="6" t="str">
        <f>IF(ROWS(tblWomenSorted[[#Headers],[Id]]:tblWomenSorted[[#This Row],[Id]])-1&gt;$BO$11,"",SMALL(tblWomen[Id],ROWS(tblWomenSorted[[#Headers],[Id]]:tblWomenSorted[[#This Row],[Id]])-1))</f>
        <v/>
      </c>
      <c r="BP33" s="17"/>
      <c r="BQ33" s="6" t="str">
        <f t="array" ref="BQ33">IF(ROWS(tblData[[#Headers],[Id]]:tblData[[#This Row],[Id]])-1&gt;$BQ$11,"",INDEX(tblData[Id],SMALL(IF(LEN(TRIM(tblData[Surname]))*(tblData[Type]=$BQ$9),ROW(tblData[Id])-ROW(tblData[[#Headers],[Id]])),ROWS(tblData[[#Headers],[Id]]:tblData[[#This Row],[Id]])-1)))</f>
        <v/>
      </c>
      <c r="BS33" s="6" t="str">
        <f>IF(ROWS(tblMenSorted[[#Headers],[Id]]:tblMenSorted[[#This Row],[Id]])-1&gt;$BS$11,"",SMALL(tblMen[Id],ROWS(tblMenSorted[[#Headers],[Id]]:tblMenSorted[[#This Row],[Id]])-1))</f>
        <v/>
      </c>
      <c r="BU33" s="6" t="str">
        <f t="array" ref="BU33">IF(ROWS(tblData[[#Headers],[Sorted Name Id]]:tblData[[#This Row],[Sorted Name Id]])-1&gt;$BU$11,"",INDEX(tblData[Sorted Name Id],SMALL(IF(LEN(TRIM(tblData[Surname]))*(tblData[Visa required]="YES"),ROW(tblData[Sorted Name Id])-ROW(tblData[[#Headers],[Sorted Name Id]])),ROWS(tblData[[#Headers],[Sorted Name Id]]:tblData[[#This Row],[Sorted Name Id]])-1)))</f>
        <v/>
      </c>
      <c r="BW33" s="6" t="str">
        <f>IF(ROWS(tblVisasSorted[[#Headers],[Id]]:tblVisasSorted[[#This Row],[Id]])-1&gt;$BW$11,"",SMALL(tblVisas[Id],ROWS(tblVisasSorted[[#Headers],[Id]]:tblVisasSorted[[#This Row],[Id]])-1))</f>
        <v/>
      </c>
      <c r="BY33" s="6" t="str">
        <f t="array" ref="BY33">IF(ROWS(tblData[[#Headers],[Sorted Arr Id]]:tblData[[#This Row],[Sorted Arr Id]])-1&gt;$BY$11,"",INDEX(tblData[Sorted Arr Id],SMALL(IF(LEN(TRIM(tblData[Surname]))*(tblData[Arr DateTime]&gt;0),ROW(tblData[Sorted Arr Id])-ROW(tblData[[#Headers],[Sorted Arr Id]])),ROWS(tblData[[#Headers],[Sorted Arr Id]]:tblData[[#This Row],[Sorted Arr Id]])-1)))</f>
        <v/>
      </c>
      <c r="CA33" s="6" t="str">
        <f>IF(ROWS(tblArrivalSorted[[#Headers],[Id]]:tblArrivalSorted[[#This Row],[Id]])-1&gt;$CA$11,"",SMALL(tblArrival[Id],ROWS(tblArrivalSorted[[#Headers],[Id]]:tblArrivalSorted[[#This Row],[Id]])-1))</f>
        <v/>
      </c>
      <c r="CC33" s="6" t="str">
        <f t="array" ref="CC33">IF(ROWS(tblData[[#Headers],[Sorted Dep Id]]:tblData[[#This Row],[Sorted Dep Id]])-1&gt;$CC$11,"",INDEX(tblData[Sorted Dep Id],SMALL(IF(LEN(TRIM(tblData[Surname]))*(tblData[Dep DateTime]&gt;0),ROW(tblData[Sorted Dep Id])-ROW(tblData[[#Headers],[Sorted Dep Id]])),ROWS(tblData[[#Headers],[Sorted Dep Id]]:tblData[[#This Row],[Sorted Dep Id]])-1)))</f>
        <v/>
      </c>
      <c r="CE33" s="6" t="str">
        <f>IF(ROWS(tblDepartureSorted[[#Headers],[Id]]:tblDepartureSorted[[#This Row],[Id]])-1&gt;$CE$11,"",SMALL(tblDeparture[Id],ROWS(tblDepartureSorted[[#Headers],[Id]]:tblDepartureSorted[[#This Row],[Id]])-1))</f>
        <v/>
      </c>
      <c r="CG33" s="6" t="str">
        <f t="array" ref="CG33">IF(ROWS(tblData[[#Headers],[Id]]:tblData[[#This Row],[Id]])-1&gt;$CG$11,"",INDEX(tblData[Id],SMALL(IF(LEN(TRIM(tblData[Surname])),ROW(tblData[Id])-ROW(tblData[[#Headers],[Id]])),ROWS(tblData[[#Headers],[Id]]:tblData[[#This Row],[Id]])-1)))</f>
        <v/>
      </c>
    </row>
    <row r="34" spans="1:85" s="6" customFormat="1">
      <c r="A34" s="14">
        <f>IF(ISNUMBER(tblData[[#This Row],[SubType2]]),tblData[[#This Row],[SubType2]]*10000+tblData[[#This Row],[No]],1000000+tblData[[#This Row],[No]])</f>
        <v>1000021</v>
      </c>
      <c r="B34" s="14">
        <f>IFERROR(tblData[[#This Row],[Surname Rang]]*1000+tblData[[#This Row],[Given Name Rang]]+tblData[[#This Row],[No]]/1000,"")</f>
        <v>2.1000000000000001E-2</v>
      </c>
      <c r="C34" s="14">
        <f>IFERROR(tblData[[#This Row],[Arr DateTime Rang]]+tblData[[#This Row],[No]]/1000,"")</f>
        <v>110.021</v>
      </c>
      <c r="D34" s="14">
        <f>IFERROR(tblData[[#This Row],[Dep DateTime Rang]]+tblData[[#This Row],[No]]/1000,"")</f>
        <v>110.021</v>
      </c>
      <c r="E34" s="362">
        <f t="shared" si="1"/>
        <v>21</v>
      </c>
      <c r="F34" s="370"/>
      <c r="G34" s="331"/>
      <c r="H34" s="328"/>
      <c r="I34" s="329"/>
      <c r="J34" s="330"/>
      <c r="K34" s="369"/>
      <c r="L34" s="375"/>
      <c r="M34" s="331"/>
      <c r="N34" s="331"/>
      <c r="O34" s="331"/>
      <c r="P34" s="329"/>
      <c r="Q34" s="376"/>
      <c r="R34" s="383"/>
      <c r="S34" s="332"/>
      <c r="T34" s="331"/>
      <c r="U34" s="333"/>
      <c r="V34" s="333"/>
      <c r="W34" s="384"/>
      <c r="X34" s="383"/>
      <c r="Y34" s="332"/>
      <c r="Z34" s="331"/>
      <c r="AA34" s="331"/>
      <c r="AB34" s="333"/>
      <c r="AC34" s="384"/>
      <c r="AD34" s="375"/>
      <c r="AE34" s="369"/>
      <c r="AF34" s="397"/>
      <c r="AG34" s="328"/>
      <c r="AH34" s="328"/>
      <c r="AI34" s="328"/>
      <c r="AJ34" s="328"/>
      <c r="AK34" s="328"/>
      <c r="AL34" s="328"/>
      <c r="AM34" s="328"/>
      <c r="AN34" s="398"/>
      <c r="AO34" s="402" t="str">
        <f>IF(ISBLANK(tblData[[#This Row],[Surname]]),"",IF(tblData[[#This Row],[Bill Accred Fee]]=0,"NO","YES"))</f>
        <v/>
      </c>
      <c r="AP34" s="406">
        <f>IF(AND(NOT(ISBLANK(tblData[[#This Row],[Surname]])),COUNTA(tblData[[#This Row],[Day 1]:[Day 9]])=0),1,0)</f>
        <v>0</v>
      </c>
      <c r="AQ34" s="406">
        <f>IF(AND(NOT(ISBLANK(tblData[[#This Row],[Surname]])),tblData[[#This Row],[Position]]="Athlete"),1,0)</f>
        <v>0</v>
      </c>
      <c r="AR34" s="433">
        <f>EntryFee*tblData[[#This Row],[Entry Fee Billable]]</f>
        <v>0</v>
      </c>
      <c r="AS34" s="410" t="e">
        <f>IF(ISBLANK(SelectedCategory),"No Cat!",IF(ISBLANK($F34),0,IFERROR(VLOOKUP(AS$12&amp;", "&amp;tblData[[#This Row],[Day 1]],tblAccommodationCosts[],5,FALSE),0)+IFERROR(VLOOKUP(AS$12&amp;", "&amp;tblData[[#This Row],[Day 2]],tblAccommodationCosts[],5,FALSE),0)+IFERROR(VLOOKUP(AS$12&amp;", "&amp;tblData[[#This Row],[Day 3]],tblAccommodationCosts[],5,FALSE),0)+IFERROR(VLOOKUP(AS$12&amp;", "&amp;tblData[[#This Row],[Day 4]],tblAccommodationCosts[],5,FALSE),0)+IFERROR(VLOOKUP(AS$12&amp;", "&amp;tblData[[#This Row],[Day 5]],tblAccommodationCosts[],5,FALSE),0)+IFERROR(VLOOKUP(AS$12&amp;", "&amp;tblData[[#This Row],[Day 6]],tblAccommodationCosts[],5,FALSE),0)+IFERROR(VLOOKUP(AS$12&amp;", "&amp;tblData[[#This Row],[Day 7]],tblAccommodationCosts[],5,FALSE),0)+IFERROR(VLOOKUP(AS$12&amp;", "&amp;tblData[[#This Row],[Day 8]],tblAccommodationCosts[],5,FALSE),0)+IFERROR(VLOOKUP(AS$12&amp;", "&amp;tblData[[#This Row],[Day 9]],tblAccommodationCosts[],5,FALSE),0)+AccreditationFee*tblData[[#This Row],[Bill Accred Fee]]))+tblData[[#This Row],[Entry Fee]]</f>
        <v>#VALUE!</v>
      </c>
      <c r="AT34" s="324" t="str">
        <f>IFERROR(VLOOKUP(tblData[[#This Row],[Weight Category, Function, and Gender]],tblWeightOrFunction[],3,0),"")</f>
        <v/>
      </c>
      <c r="AU34" s="84" t="str">
        <f>IFERROR(VLOOKUP(tblData[[#This Row],[Weight Category, Function, and Gender]],tblWeightOrFunction[],4,0),"")</f>
        <v/>
      </c>
      <c r="AV34" s="85" t="str">
        <f>IFERROR(VLOOKUP(tblData[[#This Row],[Weight Category, Function, and Gender]],tblWeightOrFunction[],7,0),"")</f>
        <v/>
      </c>
      <c r="AW34" s="84" t="str">
        <f>IFERROR(VLOOKUP(tblData[[#This Row],[Weight Category, Function, and Gender]],tblWeightOrFunction[],6,0),"")</f>
        <v/>
      </c>
      <c r="AX34" s="84" t="str">
        <f>IFERROR(VLOOKUP(tblData[[#This Row],[Weight Category, Function, and Gender]],tblWeightOrFunction[],2,0),"")</f>
        <v/>
      </c>
      <c r="AY34" s="75">
        <f>tblData[[#This Row],[Arr Date]]+tblData[[#This Row],[Arr Time]]</f>
        <v>0</v>
      </c>
      <c r="AZ34" s="75">
        <f>tblData[[#This Row],[Dep Date]]+tblData[[#This Row],[Dep Time]]</f>
        <v>0</v>
      </c>
      <c r="BA34" s="72">
        <f>COUNTIF(tblData[Surname],"&lt;="&amp;tblData[Surname])</f>
        <v>0</v>
      </c>
      <c r="BB34" s="72">
        <f>COUNTIF(tblData[Given name],"&lt;="&amp;tblData[Given name])</f>
        <v>0</v>
      </c>
      <c r="BC34" s="72">
        <f>COUNTIF(tblData[Arr DateTime],"&lt;="&amp;tblData[Arr DateTime])</f>
        <v>110</v>
      </c>
      <c r="BD34" s="72">
        <f>COUNTIF(tblData[Dep DateTime],"&lt;="&amp;tblData[Dep DateTime])</f>
        <v>110</v>
      </c>
      <c r="BE34" s="72">
        <f>COUNTIF(tblData[ShuttleAtDeparture],"&lt;="&amp;tblData[ShuttleAtDeparture])</f>
        <v>0</v>
      </c>
      <c r="BI34" s="6" t="str">
        <f t="array" ref="BI34">IF(ROWS(tblData[[#Headers],[Id]]:tblData[[#This Row],[Id]])-1&gt;$BI$11,"",INDEX(tblData[Id],SMALL(IF(LEN(TRIM(tblData[Surname]))*((tblData[Type]=$BI$9)+(tblData[Type]=$BI$10)),ROW(tblData[Id])-ROW(tblData[[#Headers],[Id]])),ROWS(tblData[[#Headers],[Id]]:tblData[[#This Row],[Id]])-1)))</f>
        <v/>
      </c>
      <c r="BK34" s="6" t="str">
        <f>IF(ROWS(tblCoachesAndOfficialsSorted[[#Headers],[Id]]:tblCoachesAndOfficialsSorted[[#This Row],[Id]])-1&gt;$BK$11,"",SMALL(tblCoachesAndOfficials[Id],ROWS(tblCoachesAndOfficialsSorted[[#Headers],[Id]]:tblCoachesAndOfficialsSorted[[#This Row],[Id]])-1))</f>
        <v/>
      </c>
      <c r="BM34" s="6" t="str">
        <f t="array" ref="BM34">IF(ROWS(tblData[[#Headers],[Id]]:tblData[[#This Row],[Id]])-1&gt;$BM$11,"",INDEX(tblData[Id],SMALL(IF(LEN(TRIM(tblData[Surname]))*(tblData[Type]=$BM$9),ROW(tblData[Id])-ROW(tblData[[#Headers],[Id]])),ROWS(tblData[[#Headers],[Id]]:tblData[[#This Row],[Id]])-1)))</f>
        <v/>
      </c>
      <c r="BO34" s="6" t="str">
        <f>IF(ROWS(tblWomenSorted[[#Headers],[Id]]:tblWomenSorted[[#This Row],[Id]])-1&gt;$BO$11,"",SMALL(tblWomen[Id],ROWS(tblWomenSorted[[#Headers],[Id]]:tblWomenSorted[[#This Row],[Id]])-1))</f>
        <v/>
      </c>
      <c r="BP34" s="17"/>
      <c r="BQ34" s="6" t="str">
        <f t="array" ref="BQ34">IF(ROWS(tblData[[#Headers],[Id]]:tblData[[#This Row],[Id]])-1&gt;$BQ$11,"",INDEX(tblData[Id],SMALL(IF(LEN(TRIM(tblData[Surname]))*(tblData[Type]=$BQ$9),ROW(tblData[Id])-ROW(tblData[[#Headers],[Id]])),ROWS(tblData[[#Headers],[Id]]:tblData[[#This Row],[Id]])-1)))</f>
        <v/>
      </c>
      <c r="BS34" s="6" t="str">
        <f>IF(ROWS(tblMenSorted[[#Headers],[Id]]:tblMenSorted[[#This Row],[Id]])-1&gt;$BS$11,"",SMALL(tblMen[Id],ROWS(tblMenSorted[[#Headers],[Id]]:tblMenSorted[[#This Row],[Id]])-1))</f>
        <v/>
      </c>
      <c r="BU34" s="6" t="str">
        <f t="array" ref="BU34">IF(ROWS(tblData[[#Headers],[Sorted Name Id]]:tblData[[#This Row],[Sorted Name Id]])-1&gt;$BU$11,"",INDEX(tblData[Sorted Name Id],SMALL(IF(LEN(TRIM(tblData[Surname]))*(tblData[Visa required]="YES"),ROW(tblData[Sorted Name Id])-ROW(tblData[[#Headers],[Sorted Name Id]])),ROWS(tblData[[#Headers],[Sorted Name Id]]:tblData[[#This Row],[Sorted Name Id]])-1)))</f>
        <v/>
      </c>
      <c r="BW34" s="6" t="str">
        <f>IF(ROWS(tblVisasSorted[[#Headers],[Id]]:tblVisasSorted[[#This Row],[Id]])-1&gt;$BW$11,"",SMALL(tblVisas[Id],ROWS(tblVisasSorted[[#Headers],[Id]]:tblVisasSorted[[#This Row],[Id]])-1))</f>
        <v/>
      </c>
      <c r="BY34" s="6" t="str">
        <f t="array" ref="BY34">IF(ROWS(tblData[[#Headers],[Sorted Arr Id]]:tblData[[#This Row],[Sorted Arr Id]])-1&gt;$BY$11,"",INDEX(tblData[Sorted Arr Id],SMALL(IF(LEN(TRIM(tblData[Surname]))*(tblData[Arr DateTime]&gt;0),ROW(tblData[Sorted Arr Id])-ROW(tblData[[#Headers],[Sorted Arr Id]])),ROWS(tblData[[#Headers],[Sorted Arr Id]]:tblData[[#This Row],[Sorted Arr Id]])-1)))</f>
        <v/>
      </c>
      <c r="CA34" s="6" t="str">
        <f>IF(ROWS(tblArrivalSorted[[#Headers],[Id]]:tblArrivalSorted[[#This Row],[Id]])-1&gt;$CA$11,"",SMALL(tblArrival[Id],ROWS(tblArrivalSorted[[#Headers],[Id]]:tblArrivalSorted[[#This Row],[Id]])-1))</f>
        <v/>
      </c>
      <c r="CC34" s="6" t="str">
        <f t="array" ref="CC34">IF(ROWS(tblData[[#Headers],[Sorted Dep Id]]:tblData[[#This Row],[Sorted Dep Id]])-1&gt;$CC$11,"",INDEX(tblData[Sorted Dep Id],SMALL(IF(LEN(TRIM(tblData[Surname]))*(tblData[Dep DateTime]&gt;0),ROW(tblData[Sorted Dep Id])-ROW(tblData[[#Headers],[Sorted Dep Id]])),ROWS(tblData[[#Headers],[Sorted Dep Id]]:tblData[[#This Row],[Sorted Dep Id]])-1)))</f>
        <v/>
      </c>
      <c r="CE34" s="6" t="str">
        <f>IF(ROWS(tblDepartureSorted[[#Headers],[Id]]:tblDepartureSorted[[#This Row],[Id]])-1&gt;$CE$11,"",SMALL(tblDeparture[Id],ROWS(tblDepartureSorted[[#Headers],[Id]]:tblDepartureSorted[[#This Row],[Id]])-1))</f>
        <v/>
      </c>
      <c r="CG34" s="6" t="str">
        <f t="array" ref="CG34">IF(ROWS(tblData[[#Headers],[Id]]:tblData[[#This Row],[Id]])-1&gt;$CG$11,"",INDEX(tblData[Id],SMALL(IF(LEN(TRIM(tblData[Surname])),ROW(tblData[Id])-ROW(tblData[[#Headers],[Id]])),ROWS(tblData[[#Headers],[Id]]:tblData[[#This Row],[Id]])-1)))</f>
        <v/>
      </c>
    </row>
    <row r="35" spans="1:85" s="6" customFormat="1">
      <c r="A35" s="14">
        <f>IF(ISNUMBER(tblData[[#This Row],[SubType2]]),tblData[[#This Row],[SubType2]]*10000+tblData[[#This Row],[No]],1000000+tblData[[#This Row],[No]])</f>
        <v>1000022</v>
      </c>
      <c r="B35" s="14">
        <f>IFERROR(tblData[[#This Row],[Surname Rang]]*1000+tblData[[#This Row],[Given Name Rang]]+tblData[[#This Row],[No]]/1000,"")</f>
        <v>2.1999999999999999E-2</v>
      </c>
      <c r="C35" s="14">
        <f>IFERROR(tblData[[#This Row],[Arr DateTime Rang]]+tblData[[#This Row],[No]]/1000,"")</f>
        <v>110.02200000000001</v>
      </c>
      <c r="D35" s="14">
        <f>IFERROR(tblData[[#This Row],[Dep DateTime Rang]]+tblData[[#This Row],[No]]/1000,"")</f>
        <v>110.02200000000001</v>
      </c>
      <c r="E35" s="362">
        <f t="shared" si="1"/>
        <v>22</v>
      </c>
      <c r="F35" s="370"/>
      <c r="G35" s="331"/>
      <c r="H35" s="328"/>
      <c r="I35" s="329"/>
      <c r="J35" s="330"/>
      <c r="K35" s="369"/>
      <c r="L35" s="375"/>
      <c r="M35" s="331"/>
      <c r="N35" s="331"/>
      <c r="O35" s="331"/>
      <c r="P35" s="329"/>
      <c r="Q35" s="376"/>
      <c r="R35" s="383"/>
      <c r="S35" s="332"/>
      <c r="T35" s="331"/>
      <c r="U35" s="333"/>
      <c r="V35" s="333"/>
      <c r="W35" s="384"/>
      <c r="X35" s="383"/>
      <c r="Y35" s="332"/>
      <c r="Z35" s="331"/>
      <c r="AA35" s="331"/>
      <c r="AB35" s="333"/>
      <c r="AC35" s="384"/>
      <c r="AD35" s="375"/>
      <c r="AE35" s="369"/>
      <c r="AF35" s="397"/>
      <c r="AG35" s="328"/>
      <c r="AH35" s="328"/>
      <c r="AI35" s="328"/>
      <c r="AJ35" s="328"/>
      <c r="AK35" s="328"/>
      <c r="AL35" s="328"/>
      <c r="AM35" s="328"/>
      <c r="AN35" s="398"/>
      <c r="AO35" s="402" t="str">
        <f>IF(ISBLANK(tblData[[#This Row],[Surname]]),"",IF(tblData[[#This Row],[Bill Accred Fee]]=0,"NO","YES"))</f>
        <v/>
      </c>
      <c r="AP35" s="406">
        <f>IF(AND(NOT(ISBLANK(tblData[[#This Row],[Surname]])),COUNTA(tblData[[#This Row],[Day 1]:[Day 9]])=0),1,0)</f>
        <v>0</v>
      </c>
      <c r="AQ35" s="406">
        <f>IF(AND(NOT(ISBLANK(tblData[[#This Row],[Surname]])),tblData[[#This Row],[Position]]="Athlete"),1,0)</f>
        <v>0</v>
      </c>
      <c r="AR35" s="433">
        <f>EntryFee*tblData[[#This Row],[Entry Fee Billable]]</f>
        <v>0</v>
      </c>
      <c r="AS35" s="410" t="e">
        <f>IF(ISBLANK(SelectedCategory),"No Cat!",IF(ISBLANK($F35),0,IFERROR(VLOOKUP(AS$12&amp;", "&amp;tblData[[#This Row],[Day 1]],tblAccommodationCosts[],5,FALSE),0)+IFERROR(VLOOKUP(AS$12&amp;", "&amp;tblData[[#This Row],[Day 2]],tblAccommodationCosts[],5,FALSE),0)+IFERROR(VLOOKUP(AS$12&amp;", "&amp;tblData[[#This Row],[Day 3]],tblAccommodationCosts[],5,FALSE),0)+IFERROR(VLOOKUP(AS$12&amp;", "&amp;tblData[[#This Row],[Day 4]],tblAccommodationCosts[],5,FALSE),0)+IFERROR(VLOOKUP(AS$12&amp;", "&amp;tblData[[#This Row],[Day 5]],tblAccommodationCosts[],5,FALSE),0)+IFERROR(VLOOKUP(AS$12&amp;", "&amp;tblData[[#This Row],[Day 6]],tblAccommodationCosts[],5,FALSE),0)+IFERROR(VLOOKUP(AS$12&amp;", "&amp;tblData[[#This Row],[Day 7]],tblAccommodationCosts[],5,FALSE),0)+IFERROR(VLOOKUP(AS$12&amp;", "&amp;tblData[[#This Row],[Day 8]],tblAccommodationCosts[],5,FALSE),0)+IFERROR(VLOOKUP(AS$12&amp;", "&amp;tblData[[#This Row],[Day 9]],tblAccommodationCosts[],5,FALSE),0)+AccreditationFee*tblData[[#This Row],[Bill Accred Fee]]))+tblData[[#This Row],[Entry Fee]]</f>
        <v>#VALUE!</v>
      </c>
      <c r="AT35" s="324" t="str">
        <f>IFERROR(VLOOKUP(tblData[[#This Row],[Weight Category, Function, and Gender]],tblWeightOrFunction[],3,0),"")</f>
        <v/>
      </c>
      <c r="AU35" s="84" t="str">
        <f>IFERROR(VLOOKUP(tblData[[#This Row],[Weight Category, Function, and Gender]],tblWeightOrFunction[],4,0),"")</f>
        <v/>
      </c>
      <c r="AV35" s="85" t="str">
        <f>IFERROR(VLOOKUP(tblData[[#This Row],[Weight Category, Function, and Gender]],tblWeightOrFunction[],7,0),"")</f>
        <v/>
      </c>
      <c r="AW35" s="84" t="str">
        <f>IFERROR(VLOOKUP(tblData[[#This Row],[Weight Category, Function, and Gender]],tblWeightOrFunction[],6,0),"")</f>
        <v/>
      </c>
      <c r="AX35" s="84" t="str">
        <f>IFERROR(VLOOKUP(tblData[[#This Row],[Weight Category, Function, and Gender]],tblWeightOrFunction[],2,0),"")</f>
        <v/>
      </c>
      <c r="AY35" s="75">
        <f>tblData[[#This Row],[Arr Date]]+tblData[[#This Row],[Arr Time]]</f>
        <v>0</v>
      </c>
      <c r="AZ35" s="75">
        <f>tblData[[#This Row],[Dep Date]]+tblData[[#This Row],[Dep Time]]</f>
        <v>0</v>
      </c>
      <c r="BA35" s="72">
        <f>COUNTIF(tblData[Surname],"&lt;="&amp;tblData[Surname])</f>
        <v>0</v>
      </c>
      <c r="BB35" s="72">
        <f>COUNTIF(tblData[Given name],"&lt;="&amp;tblData[Given name])</f>
        <v>0</v>
      </c>
      <c r="BC35" s="72">
        <f>COUNTIF(tblData[Arr DateTime],"&lt;="&amp;tblData[Arr DateTime])</f>
        <v>110</v>
      </c>
      <c r="BD35" s="72">
        <f>COUNTIF(tblData[Dep DateTime],"&lt;="&amp;tblData[Dep DateTime])</f>
        <v>110</v>
      </c>
      <c r="BE35" s="72">
        <f>COUNTIF(tblData[ShuttleAtDeparture],"&lt;="&amp;tblData[ShuttleAtDeparture])</f>
        <v>0</v>
      </c>
      <c r="BI35" s="6" t="str">
        <f t="array" ref="BI35">IF(ROWS(tblData[[#Headers],[Id]]:tblData[[#This Row],[Id]])-1&gt;$BI$11,"",INDEX(tblData[Id],SMALL(IF(LEN(TRIM(tblData[Surname]))*((tblData[Type]=$BI$9)+(tblData[Type]=$BI$10)),ROW(tblData[Id])-ROW(tblData[[#Headers],[Id]])),ROWS(tblData[[#Headers],[Id]]:tblData[[#This Row],[Id]])-1)))</f>
        <v/>
      </c>
      <c r="BK35" s="6" t="str">
        <f>IF(ROWS(tblCoachesAndOfficialsSorted[[#Headers],[Id]]:tblCoachesAndOfficialsSorted[[#This Row],[Id]])-1&gt;$BK$11,"",SMALL(tblCoachesAndOfficials[Id],ROWS(tblCoachesAndOfficialsSorted[[#Headers],[Id]]:tblCoachesAndOfficialsSorted[[#This Row],[Id]])-1))</f>
        <v/>
      </c>
      <c r="BM35" s="6" t="str">
        <f t="array" ref="BM35">IF(ROWS(tblData[[#Headers],[Id]]:tblData[[#This Row],[Id]])-1&gt;$BM$11,"",INDEX(tblData[Id],SMALL(IF(LEN(TRIM(tblData[Surname]))*(tblData[Type]=$BM$9),ROW(tblData[Id])-ROW(tblData[[#Headers],[Id]])),ROWS(tblData[[#Headers],[Id]]:tblData[[#This Row],[Id]])-1)))</f>
        <v/>
      </c>
      <c r="BO35" s="6" t="str">
        <f>IF(ROWS(tblWomenSorted[[#Headers],[Id]]:tblWomenSorted[[#This Row],[Id]])-1&gt;$BO$11,"",SMALL(tblWomen[Id],ROWS(tblWomenSorted[[#Headers],[Id]]:tblWomenSorted[[#This Row],[Id]])-1))</f>
        <v/>
      </c>
      <c r="BP35" s="17"/>
      <c r="BQ35" s="6" t="str">
        <f t="array" ref="BQ35">IF(ROWS(tblData[[#Headers],[Id]]:tblData[[#This Row],[Id]])-1&gt;$BQ$11,"",INDEX(tblData[Id],SMALL(IF(LEN(TRIM(tblData[Surname]))*(tblData[Type]=$BQ$9),ROW(tblData[Id])-ROW(tblData[[#Headers],[Id]])),ROWS(tblData[[#Headers],[Id]]:tblData[[#This Row],[Id]])-1)))</f>
        <v/>
      </c>
      <c r="BS35" s="6" t="str">
        <f>IF(ROWS(tblMenSorted[[#Headers],[Id]]:tblMenSorted[[#This Row],[Id]])-1&gt;$BS$11,"",SMALL(tblMen[Id],ROWS(tblMenSorted[[#Headers],[Id]]:tblMenSorted[[#This Row],[Id]])-1))</f>
        <v/>
      </c>
      <c r="BU35" s="6" t="str">
        <f t="array" ref="BU35">IF(ROWS(tblData[[#Headers],[Sorted Name Id]]:tblData[[#This Row],[Sorted Name Id]])-1&gt;$BU$11,"",INDEX(tblData[Sorted Name Id],SMALL(IF(LEN(TRIM(tblData[Surname]))*(tblData[Visa required]="YES"),ROW(tblData[Sorted Name Id])-ROW(tblData[[#Headers],[Sorted Name Id]])),ROWS(tblData[[#Headers],[Sorted Name Id]]:tblData[[#This Row],[Sorted Name Id]])-1)))</f>
        <v/>
      </c>
      <c r="BW35" s="6" t="str">
        <f>IF(ROWS(tblVisasSorted[[#Headers],[Id]]:tblVisasSorted[[#This Row],[Id]])-1&gt;$BW$11,"",SMALL(tblVisas[Id],ROWS(tblVisasSorted[[#Headers],[Id]]:tblVisasSorted[[#This Row],[Id]])-1))</f>
        <v/>
      </c>
      <c r="BY35" s="6" t="str">
        <f t="array" ref="BY35">IF(ROWS(tblData[[#Headers],[Sorted Arr Id]]:tblData[[#This Row],[Sorted Arr Id]])-1&gt;$BY$11,"",INDEX(tblData[Sorted Arr Id],SMALL(IF(LEN(TRIM(tblData[Surname]))*(tblData[Arr DateTime]&gt;0),ROW(tblData[Sorted Arr Id])-ROW(tblData[[#Headers],[Sorted Arr Id]])),ROWS(tblData[[#Headers],[Sorted Arr Id]]:tblData[[#This Row],[Sorted Arr Id]])-1)))</f>
        <v/>
      </c>
      <c r="CA35" s="6" t="str">
        <f>IF(ROWS(tblArrivalSorted[[#Headers],[Id]]:tblArrivalSorted[[#This Row],[Id]])-1&gt;$CA$11,"",SMALL(tblArrival[Id],ROWS(tblArrivalSorted[[#Headers],[Id]]:tblArrivalSorted[[#This Row],[Id]])-1))</f>
        <v/>
      </c>
      <c r="CC35" s="6" t="str">
        <f t="array" ref="CC35">IF(ROWS(tblData[[#Headers],[Sorted Dep Id]]:tblData[[#This Row],[Sorted Dep Id]])-1&gt;$CC$11,"",INDEX(tblData[Sorted Dep Id],SMALL(IF(LEN(TRIM(tblData[Surname]))*(tblData[Dep DateTime]&gt;0),ROW(tblData[Sorted Dep Id])-ROW(tblData[[#Headers],[Sorted Dep Id]])),ROWS(tblData[[#Headers],[Sorted Dep Id]]:tblData[[#This Row],[Sorted Dep Id]])-1)))</f>
        <v/>
      </c>
      <c r="CE35" s="6" t="str">
        <f>IF(ROWS(tblDepartureSorted[[#Headers],[Id]]:tblDepartureSorted[[#This Row],[Id]])-1&gt;$CE$11,"",SMALL(tblDeparture[Id],ROWS(tblDepartureSorted[[#Headers],[Id]]:tblDepartureSorted[[#This Row],[Id]])-1))</f>
        <v/>
      </c>
      <c r="CG35" s="6" t="str">
        <f t="array" ref="CG35">IF(ROWS(tblData[[#Headers],[Id]]:tblData[[#This Row],[Id]])-1&gt;$CG$11,"",INDEX(tblData[Id],SMALL(IF(LEN(TRIM(tblData[Surname])),ROW(tblData[Id])-ROW(tblData[[#Headers],[Id]])),ROWS(tblData[[#Headers],[Id]]:tblData[[#This Row],[Id]])-1)))</f>
        <v/>
      </c>
    </row>
    <row r="36" spans="1:85" s="6" customFormat="1">
      <c r="A36" s="14">
        <f>IF(ISNUMBER(tblData[[#This Row],[SubType2]]),tblData[[#This Row],[SubType2]]*10000+tblData[[#This Row],[No]],1000000+tblData[[#This Row],[No]])</f>
        <v>1000023</v>
      </c>
      <c r="B36" s="14">
        <f>IFERROR(tblData[[#This Row],[Surname Rang]]*1000+tblData[[#This Row],[Given Name Rang]]+tblData[[#This Row],[No]]/1000,"")</f>
        <v>2.3E-2</v>
      </c>
      <c r="C36" s="14">
        <f>IFERROR(tblData[[#This Row],[Arr DateTime Rang]]+tblData[[#This Row],[No]]/1000,"")</f>
        <v>110.023</v>
      </c>
      <c r="D36" s="14">
        <f>IFERROR(tblData[[#This Row],[Dep DateTime Rang]]+tblData[[#This Row],[No]]/1000,"")</f>
        <v>110.023</v>
      </c>
      <c r="E36" s="362">
        <f t="shared" si="1"/>
        <v>23</v>
      </c>
      <c r="F36" s="370"/>
      <c r="G36" s="331"/>
      <c r="H36" s="328"/>
      <c r="I36" s="329"/>
      <c r="J36" s="330"/>
      <c r="K36" s="369"/>
      <c r="L36" s="375"/>
      <c r="M36" s="331"/>
      <c r="N36" s="331"/>
      <c r="O36" s="331"/>
      <c r="P36" s="329"/>
      <c r="Q36" s="376"/>
      <c r="R36" s="383"/>
      <c r="S36" s="332"/>
      <c r="T36" s="331"/>
      <c r="U36" s="333"/>
      <c r="V36" s="333"/>
      <c r="W36" s="384"/>
      <c r="X36" s="383"/>
      <c r="Y36" s="332"/>
      <c r="Z36" s="331"/>
      <c r="AA36" s="331"/>
      <c r="AB36" s="333"/>
      <c r="AC36" s="384"/>
      <c r="AD36" s="375"/>
      <c r="AE36" s="369"/>
      <c r="AF36" s="397"/>
      <c r="AG36" s="328"/>
      <c r="AH36" s="328"/>
      <c r="AI36" s="328"/>
      <c r="AJ36" s="328"/>
      <c r="AK36" s="328"/>
      <c r="AL36" s="328"/>
      <c r="AM36" s="328"/>
      <c r="AN36" s="398"/>
      <c r="AO36" s="402" t="str">
        <f>IF(ISBLANK(tblData[[#This Row],[Surname]]),"",IF(tblData[[#This Row],[Bill Accred Fee]]=0,"NO","YES"))</f>
        <v/>
      </c>
      <c r="AP36" s="406">
        <f>IF(AND(NOT(ISBLANK(tblData[[#This Row],[Surname]])),COUNTA(tblData[[#This Row],[Day 1]:[Day 9]])=0),1,0)</f>
        <v>0</v>
      </c>
      <c r="AQ36" s="406">
        <f>IF(AND(NOT(ISBLANK(tblData[[#This Row],[Surname]])),tblData[[#This Row],[Position]]="Athlete"),1,0)</f>
        <v>0</v>
      </c>
      <c r="AR36" s="433">
        <f>EntryFee*tblData[[#This Row],[Entry Fee Billable]]</f>
        <v>0</v>
      </c>
      <c r="AS36" s="410" t="e">
        <f>IF(ISBLANK(SelectedCategory),"No Cat!",IF(ISBLANK($F36),0,IFERROR(VLOOKUP(AS$12&amp;", "&amp;tblData[[#This Row],[Day 1]],tblAccommodationCosts[],5,FALSE),0)+IFERROR(VLOOKUP(AS$12&amp;", "&amp;tblData[[#This Row],[Day 2]],tblAccommodationCosts[],5,FALSE),0)+IFERROR(VLOOKUP(AS$12&amp;", "&amp;tblData[[#This Row],[Day 3]],tblAccommodationCosts[],5,FALSE),0)+IFERROR(VLOOKUP(AS$12&amp;", "&amp;tblData[[#This Row],[Day 4]],tblAccommodationCosts[],5,FALSE),0)+IFERROR(VLOOKUP(AS$12&amp;", "&amp;tblData[[#This Row],[Day 5]],tblAccommodationCosts[],5,FALSE),0)+IFERROR(VLOOKUP(AS$12&amp;", "&amp;tblData[[#This Row],[Day 6]],tblAccommodationCosts[],5,FALSE),0)+IFERROR(VLOOKUP(AS$12&amp;", "&amp;tblData[[#This Row],[Day 7]],tblAccommodationCosts[],5,FALSE),0)+IFERROR(VLOOKUP(AS$12&amp;", "&amp;tblData[[#This Row],[Day 8]],tblAccommodationCosts[],5,FALSE),0)+IFERROR(VLOOKUP(AS$12&amp;", "&amp;tblData[[#This Row],[Day 9]],tblAccommodationCosts[],5,FALSE),0)+AccreditationFee*tblData[[#This Row],[Bill Accred Fee]]))+tblData[[#This Row],[Entry Fee]]</f>
        <v>#VALUE!</v>
      </c>
      <c r="AT36" s="324" t="str">
        <f>IFERROR(VLOOKUP(tblData[[#This Row],[Weight Category, Function, and Gender]],tblWeightOrFunction[],3,0),"")</f>
        <v/>
      </c>
      <c r="AU36" s="84" t="str">
        <f>IFERROR(VLOOKUP(tblData[[#This Row],[Weight Category, Function, and Gender]],tblWeightOrFunction[],4,0),"")</f>
        <v/>
      </c>
      <c r="AV36" s="85" t="str">
        <f>IFERROR(VLOOKUP(tblData[[#This Row],[Weight Category, Function, and Gender]],tblWeightOrFunction[],7,0),"")</f>
        <v/>
      </c>
      <c r="AW36" s="84" t="str">
        <f>IFERROR(VLOOKUP(tblData[[#This Row],[Weight Category, Function, and Gender]],tblWeightOrFunction[],6,0),"")</f>
        <v/>
      </c>
      <c r="AX36" s="84" t="str">
        <f>IFERROR(VLOOKUP(tblData[[#This Row],[Weight Category, Function, and Gender]],tblWeightOrFunction[],2,0),"")</f>
        <v/>
      </c>
      <c r="AY36" s="75">
        <f>tblData[[#This Row],[Arr Date]]+tblData[[#This Row],[Arr Time]]</f>
        <v>0</v>
      </c>
      <c r="AZ36" s="75">
        <f>tblData[[#This Row],[Dep Date]]+tblData[[#This Row],[Dep Time]]</f>
        <v>0</v>
      </c>
      <c r="BA36" s="72">
        <f>COUNTIF(tblData[Surname],"&lt;="&amp;tblData[Surname])</f>
        <v>0</v>
      </c>
      <c r="BB36" s="72">
        <f>COUNTIF(tblData[Given name],"&lt;="&amp;tblData[Given name])</f>
        <v>0</v>
      </c>
      <c r="BC36" s="72">
        <f>COUNTIF(tblData[Arr DateTime],"&lt;="&amp;tblData[Arr DateTime])</f>
        <v>110</v>
      </c>
      <c r="BD36" s="72">
        <f>COUNTIF(tblData[Dep DateTime],"&lt;="&amp;tblData[Dep DateTime])</f>
        <v>110</v>
      </c>
      <c r="BE36" s="72">
        <f>COUNTIF(tblData[ShuttleAtDeparture],"&lt;="&amp;tblData[ShuttleAtDeparture])</f>
        <v>0</v>
      </c>
      <c r="BI36" s="6" t="str">
        <f t="array" ref="BI36">IF(ROWS(tblData[[#Headers],[Id]]:tblData[[#This Row],[Id]])-1&gt;$BI$11,"",INDEX(tblData[Id],SMALL(IF(LEN(TRIM(tblData[Surname]))*((tblData[Type]=$BI$9)+(tblData[Type]=$BI$10)),ROW(tblData[Id])-ROW(tblData[[#Headers],[Id]])),ROWS(tblData[[#Headers],[Id]]:tblData[[#This Row],[Id]])-1)))</f>
        <v/>
      </c>
      <c r="BK36" s="6" t="str">
        <f>IF(ROWS(tblCoachesAndOfficialsSorted[[#Headers],[Id]]:tblCoachesAndOfficialsSorted[[#This Row],[Id]])-1&gt;$BK$11,"",SMALL(tblCoachesAndOfficials[Id],ROWS(tblCoachesAndOfficialsSorted[[#Headers],[Id]]:tblCoachesAndOfficialsSorted[[#This Row],[Id]])-1))</f>
        <v/>
      </c>
      <c r="BM36" s="6" t="str">
        <f t="array" ref="BM36">IF(ROWS(tblData[[#Headers],[Id]]:tblData[[#This Row],[Id]])-1&gt;$BM$11,"",INDEX(tblData[Id],SMALL(IF(LEN(TRIM(tblData[Surname]))*(tblData[Type]=$BM$9),ROW(tblData[Id])-ROW(tblData[[#Headers],[Id]])),ROWS(tblData[[#Headers],[Id]]:tblData[[#This Row],[Id]])-1)))</f>
        <v/>
      </c>
      <c r="BO36" s="6" t="str">
        <f>IF(ROWS(tblWomenSorted[[#Headers],[Id]]:tblWomenSorted[[#This Row],[Id]])-1&gt;$BO$11,"",SMALL(tblWomen[Id],ROWS(tblWomenSorted[[#Headers],[Id]]:tblWomenSorted[[#This Row],[Id]])-1))</f>
        <v/>
      </c>
      <c r="BP36" s="17"/>
      <c r="BQ36" s="6" t="str">
        <f t="array" ref="BQ36">IF(ROWS(tblData[[#Headers],[Id]]:tblData[[#This Row],[Id]])-1&gt;$BQ$11,"",INDEX(tblData[Id],SMALL(IF(LEN(TRIM(tblData[Surname]))*(tblData[Type]=$BQ$9),ROW(tblData[Id])-ROW(tblData[[#Headers],[Id]])),ROWS(tblData[[#Headers],[Id]]:tblData[[#This Row],[Id]])-1)))</f>
        <v/>
      </c>
      <c r="BS36" s="6" t="str">
        <f>IF(ROWS(tblMenSorted[[#Headers],[Id]]:tblMenSorted[[#This Row],[Id]])-1&gt;$BS$11,"",SMALL(tblMen[Id],ROWS(tblMenSorted[[#Headers],[Id]]:tblMenSorted[[#This Row],[Id]])-1))</f>
        <v/>
      </c>
      <c r="BU36" s="6" t="str">
        <f t="array" ref="BU36">IF(ROWS(tblData[[#Headers],[Sorted Name Id]]:tblData[[#This Row],[Sorted Name Id]])-1&gt;$BU$11,"",INDEX(tblData[Sorted Name Id],SMALL(IF(LEN(TRIM(tblData[Surname]))*(tblData[Visa required]="YES"),ROW(tblData[Sorted Name Id])-ROW(tblData[[#Headers],[Sorted Name Id]])),ROWS(tblData[[#Headers],[Sorted Name Id]]:tblData[[#This Row],[Sorted Name Id]])-1)))</f>
        <v/>
      </c>
      <c r="BW36" s="6" t="str">
        <f>IF(ROWS(tblVisasSorted[[#Headers],[Id]]:tblVisasSorted[[#This Row],[Id]])-1&gt;$BW$11,"",SMALL(tblVisas[Id],ROWS(tblVisasSorted[[#Headers],[Id]]:tblVisasSorted[[#This Row],[Id]])-1))</f>
        <v/>
      </c>
      <c r="BY36" s="6" t="str">
        <f t="array" ref="BY36">IF(ROWS(tblData[[#Headers],[Sorted Arr Id]]:tblData[[#This Row],[Sorted Arr Id]])-1&gt;$BY$11,"",INDEX(tblData[Sorted Arr Id],SMALL(IF(LEN(TRIM(tblData[Surname]))*(tblData[Arr DateTime]&gt;0),ROW(tblData[Sorted Arr Id])-ROW(tblData[[#Headers],[Sorted Arr Id]])),ROWS(tblData[[#Headers],[Sorted Arr Id]]:tblData[[#This Row],[Sorted Arr Id]])-1)))</f>
        <v/>
      </c>
      <c r="CA36" s="6" t="str">
        <f>IF(ROWS(tblArrivalSorted[[#Headers],[Id]]:tblArrivalSorted[[#This Row],[Id]])-1&gt;$CA$11,"",SMALL(tblArrival[Id],ROWS(tblArrivalSorted[[#Headers],[Id]]:tblArrivalSorted[[#This Row],[Id]])-1))</f>
        <v/>
      </c>
      <c r="CC36" s="6" t="str">
        <f t="array" ref="CC36">IF(ROWS(tblData[[#Headers],[Sorted Dep Id]]:tblData[[#This Row],[Sorted Dep Id]])-1&gt;$CC$11,"",INDEX(tblData[Sorted Dep Id],SMALL(IF(LEN(TRIM(tblData[Surname]))*(tblData[Dep DateTime]&gt;0),ROW(tblData[Sorted Dep Id])-ROW(tblData[[#Headers],[Sorted Dep Id]])),ROWS(tblData[[#Headers],[Sorted Dep Id]]:tblData[[#This Row],[Sorted Dep Id]])-1)))</f>
        <v/>
      </c>
      <c r="CE36" s="6" t="str">
        <f>IF(ROWS(tblDepartureSorted[[#Headers],[Id]]:tblDepartureSorted[[#This Row],[Id]])-1&gt;$CE$11,"",SMALL(tblDeparture[Id],ROWS(tblDepartureSorted[[#Headers],[Id]]:tblDepartureSorted[[#This Row],[Id]])-1))</f>
        <v/>
      </c>
      <c r="CG36" s="6" t="str">
        <f t="array" ref="CG36">IF(ROWS(tblData[[#Headers],[Id]]:tblData[[#This Row],[Id]])-1&gt;$CG$11,"",INDEX(tblData[Id],SMALL(IF(LEN(TRIM(tblData[Surname])),ROW(tblData[Id])-ROW(tblData[[#Headers],[Id]])),ROWS(tblData[[#Headers],[Id]]:tblData[[#This Row],[Id]])-1)))</f>
        <v/>
      </c>
    </row>
    <row r="37" spans="1:85" s="6" customFormat="1">
      <c r="A37" s="14">
        <f>IF(ISNUMBER(tblData[[#This Row],[SubType2]]),tblData[[#This Row],[SubType2]]*10000+tblData[[#This Row],[No]],1000000+tblData[[#This Row],[No]])</f>
        <v>1000024</v>
      </c>
      <c r="B37" s="14">
        <f>IFERROR(tblData[[#This Row],[Surname Rang]]*1000+tblData[[#This Row],[Given Name Rang]]+tblData[[#This Row],[No]]/1000,"")</f>
        <v>2.4E-2</v>
      </c>
      <c r="C37" s="14">
        <f>IFERROR(tblData[[#This Row],[Arr DateTime Rang]]+tblData[[#This Row],[No]]/1000,"")</f>
        <v>110.024</v>
      </c>
      <c r="D37" s="14">
        <f>IFERROR(tblData[[#This Row],[Dep DateTime Rang]]+tblData[[#This Row],[No]]/1000,"")</f>
        <v>110.024</v>
      </c>
      <c r="E37" s="362">
        <f t="shared" si="1"/>
        <v>24</v>
      </c>
      <c r="F37" s="370"/>
      <c r="G37" s="331"/>
      <c r="H37" s="328"/>
      <c r="I37" s="329"/>
      <c r="J37" s="330"/>
      <c r="K37" s="369"/>
      <c r="L37" s="375"/>
      <c r="M37" s="331"/>
      <c r="N37" s="331"/>
      <c r="O37" s="331"/>
      <c r="P37" s="329"/>
      <c r="Q37" s="376"/>
      <c r="R37" s="383"/>
      <c r="S37" s="332"/>
      <c r="T37" s="331"/>
      <c r="U37" s="333"/>
      <c r="V37" s="333"/>
      <c r="W37" s="384"/>
      <c r="X37" s="383"/>
      <c r="Y37" s="332"/>
      <c r="Z37" s="331"/>
      <c r="AA37" s="331"/>
      <c r="AB37" s="333"/>
      <c r="AC37" s="384"/>
      <c r="AD37" s="375"/>
      <c r="AE37" s="369"/>
      <c r="AF37" s="397"/>
      <c r="AG37" s="328"/>
      <c r="AH37" s="328"/>
      <c r="AI37" s="328"/>
      <c r="AJ37" s="328"/>
      <c r="AK37" s="328"/>
      <c r="AL37" s="328"/>
      <c r="AM37" s="328"/>
      <c r="AN37" s="398"/>
      <c r="AO37" s="402" t="str">
        <f>IF(ISBLANK(tblData[[#This Row],[Surname]]),"",IF(tblData[[#This Row],[Bill Accred Fee]]=0,"NO","YES"))</f>
        <v/>
      </c>
      <c r="AP37" s="406">
        <f>IF(AND(NOT(ISBLANK(tblData[[#This Row],[Surname]])),COUNTA(tblData[[#This Row],[Day 1]:[Day 9]])=0),1,0)</f>
        <v>0</v>
      </c>
      <c r="AQ37" s="406">
        <f>IF(AND(NOT(ISBLANK(tblData[[#This Row],[Surname]])),tblData[[#This Row],[Position]]="Athlete"),1,0)</f>
        <v>0</v>
      </c>
      <c r="AR37" s="433">
        <f>EntryFee*tblData[[#This Row],[Entry Fee Billable]]</f>
        <v>0</v>
      </c>
      <c r="AS37" s="410" t="e">
        <f>IF(ISBLANK(SelectedCategory),"No Cat!",IF(ISBLANK($F37),0,IFERROR(VLOOKUP(AS$12&amp;", "&amp;tblData[[#This Row],[Day 1]],tblAccommodationCosts[],5,FALSE),0)+IFERROR(VLOOKUP(AS$12&amp;", "&amp;tblData[[#This Row],[Day 2]],tblAccommodationCosts[],5,FALSE),0)+IFERROR(VLOOKUP(AS$12&amp;", "&amp;tblData[[#This Row],[Day 3]],tblAccommodationCosts[],5,FALSE),0)+IFERROR(VLOOKUP(AS$12&amp;", "&amp;tblData[[#This Row],[Day 4]],tblAccommodationCosts[],5,FALSE),0)+IFERROR(VLOOKUP(AS$12&amp;", "&amp;tblData[[#This Row],[Day 5]],tblAccommodationCosts[],5,FALSE),0)+IFERROR(VLOOKUP(AS$12&amp;", "&amp;tblData[[#This Row],[Day 6]],tblAccommodationCosts[],5,FALSE),0)+IFERROR(VLOOKUP(AS$12&amp;", "&amp;tblData[[#This Row],[Day 7]],tblAccommodationCosts[],5,FALSE),0)+IFERROR(VLOOKUP(AS$12&amp;", "&amp;tblData[[#This Row],[Day 8]],tblAccommodationCosts[],5,FALSE),0)+IFERROR(VLOOKUP(AS$12&amp;", "&amp;tblData[[#This Row],[Day 9]],tblAccommodationCosts[],5,FALSE),0)+AccreditationFee*tblData[[#This Row],[Bill Accred Fee]]))+tblData[[#This Row],[Entry Fee]]</f>
        <v>#VALUE!</v>
      </c>
      <c r="AT37" s="324" t="str">
        <f>IFERROR(VLOOKUP(tblData[[#This Row],[Weight Category, Function, and Gender]],tblWeightOrFunction[],3,0),"")</f>
        <v/>
      </c>
      <c r="AU37" s="84" t="str">
        <f>IFERROR(VLOOKUP(tblData[[#This Row],[Weight Category, Function, and Gender]],tblWeightOrFunction[],4,0),"")</f>
        <v/>
      </c>
      <c r="AV37" s="85" t="str">
        <f>IFERROR(VLOOKUP(tblData[[#This Row],[Weight Category, Function, and Gender]],tblWeightOrFunction[],7,0),"")</f>
        <v/>
      </c>
      <c r="AW37" s="84" t="str">
        <f>IFERROR(VLOOKUP(tblData[[#This Row],[Weight Category, Function, and Gender]],tblWeightOrFunction[],6,0),"")</f>
        <v/>
      </c>
      <c r="AX37" s="84" t="str">
        <f>IFERROR(VLOOKUP(tblData[[#This Row],[Weight Category, Function, and Gender]],tblWeightOrFunction[],2,0),"")</f>
        <v/>
      </c>
      <c r="AY37" s="75">
        <f>tblData[[#This Row],[Arr Date]]+tblData[[#This Row],[Arr Time]]</f>
        <v>0</v>
      </c>
      <c r="AZ37" s="75">
        <f>tblData[[#This Row],[Dep Date]]+tblData[[#This Row],[Dep Time]]</f>
        <v>0</v>
      </c>
      <c r="BA37" s="72">
        <f>COUNTIF(tblData[Surname],"&lt;="&amp;tblData[Surname])</f>
        <v>0</v>
      </c>
      <c r="BB37" s="72">
        <f>COUNTIF(tblData[Given name],"&lt;="&amp;tblData[Given name])</f>
        <v>0</v>
      </c>
      <c r="BC37" s="72">
        <f>COUNTIF(tblData[Arr DateTime],"&lt;="&amp;tblData[Arr DateTime])</f>
        <v>110</v>
      </c>
      <c r="BD37" s="72">
        <f>COUNTIF(tblData[Dep DateTime],"&lt;="&amp;tblData[Dep DateTime])</f>
        <v>110</v>
      </c>
      <c r="BE37" s="72">
        <f>COUNTIF(tblData[ShuttleAtDeparture],"&lt;="&amp;tblData[ShuttleAtDeparture])</f>
        <v>0</v>
      </c>
      <c r="BI37" s="6" t="str">
        <f t="array" ref="BI37">IF(ROWS(tblData[[#Headers],[Id]]:tblData[[#This Row],[Id]])-1&gt;$BI$11,"",INDEX(tblData[Id],SMALL(IF(LEN(TRIM(tblData[Surname]))*((tblData[Type]=$BI$9)+(tblData[Type]=$BI$10)),ROW(tblData[Id])-ROW(tblData[[#Headers],[Id]])),ROWS(tblData[[#Headers],[Id]]:tblData[[#This Row],[Id]])-1)))</f>
        <v/>
      </c>
      <c r="BK37" s="6" t="str">
        <f>IF(ROWS(tblCoachesAndOfficialsSorted[[#Headers],[Id]]:tblCoachesAndOfficialsSorted[[#This Row],[Id]])-1&gt;$BK$11,"",SMALL(tblCoachesAndOfficials[Id],ROWS(tblCoachesAndOfficialsSorted[[#Headers],[Id]]:tblCoachesAndOfficialsSorted[[#This Row],[Id]])-1))</f>
        <v/>
      </c>
      <c r="BM37" s="6" t="str">
        <f t="array" ref="BM37">IF(ROWS(tblData[[#Headers],[Id]]:tblData[[#This Row],[Id]])-1&gt;$BM$11,"",INDEX(tblData[Id],SMALL(IF(LEN(TRIM(tblData[Surname]))*(tblData[Type]=$BM$9),ROW(tblData[Id])-ROW(tblData[[#Headers],[Id]])),ROWS(tblData[[#Headers],[Id]]:tblData[[#This Row],[Id]])-1)))</f>
        <v/>
      </c>
      <c r="BO37" s="6" t="str">
        <f>IF(ROWS(tblWomenSorted[[#Headers],[Id]]:tblWomenSorted[[#This Row],[Id]])-1&gt;$BO$11,"",SMALL(tblWomen[Id],ROWS(tblWomenSorted[[#Headers],[Id]]:tblWomenSorted[[#This Row],[Id]])-1))</f>
        <v/>
      </c>
      <c r="BP37" s="17"/>
      <c r="BQ37" s="6" t="str">
        <f t="array" ref="BQ37">IF(ROWS(tblData[[#Headers],[Id]]:tblData[[#This Row],[Id]])-1&gt;$BQ$11,"",INDEX(tblData[Id],SMALL(IF(LEN(TRIM(tblData[Surname]))*(tblData[Type]=$BQ$9),ROW(tblData[Id])-ROW(tblData[[#Headers],[Id]])),ROWS(tblData[[#Headers],[Id]]:tblData[[#This Row],[Id]])-1)))</f>
        <v/>
      </c>
      <c r="BS37" s="6" t="str">
        <f>IF(ROWS(tblMenSorted[[#Headers],[Id]]:tblMenSorted[[#This Row],[Id]])-1&gt;$BS$11,"",SMALL(tblMen[Id],ROWS(tblMenSorted[[#Headers],[Id]]:tblMenSorted[[#This Row],[Id]])-1))</f>
        <v/>
      </c>
      <c r="BU37" s="6" t="str">
        <f t="array" ref="BU37">IF(ROWS(tblData[[#Headers],[Sorted Name Id]]:tblData[[#This Row],[Sorted Name Id]])-1&gt;$BU$11,"",INDEX(tblData[Sorted Name Id],SMALL(IF(LEN(TRIM(tblData[Surname]))*(tblData[Visa required]="YES"),ROW(tblData[Sorted Name Id])-ROW(tblData[[#Headers],[Sorted Name Id]])),ROWS(tblData[[#Headers],[Sorted Name Id]]:tblData[[#This Row],[Sorted Name Id]])-1)))</f>
        <v/>
      </c>
      <c r="BW37" s="6" t="str">
        <f>IF(ROWS(tblVisasSorted[[#Headers],[Id]]:tblVisasSorted[[#This Row],[Id]])-1&gt;$BW$11,"",SMALL(tblVisas[Id],ROWS(tblVisasSorted[[#Headers],[Id]]:tblVisasSorted[[#This Row],[Id]])-1))</f>
        <v/>
      </c>
      <c r="BY37" s="6" t="str">
        <f t="array" ref="BY37">IF(ROWS(tblData[[#Headers],[Sorted Arr Id]]:tblData[[#This Row],[Sorted Arr Id]])-1&gt;$BY$11,"",INDEX(tblData[Sorted Arr Id],SMALL(IF(LEN(TRIM(tblData[Surname]))*(tblData[Arr DateTime]&gt;0),ROW(tblData[Sorted Arr Id])-ROW(tblData[[#Headers],[Sorted Arr Id]])),ROWS(tblData[[#Headers],[Sorted Arr Id]]:tblData[[#This Row],[Sorted Arr Id]])-1)))</f>
        <v/>
      </c>
      <c r="CA37" s="6" t="str">
        <f>IF(ROWS(tblArrivalSorted[[#Headers],[Id]]:tblArrivalSorted[[#This Row],[Id]])-1&gt;$CA$11,"",SMALL(tblArrival[Id],ROWS(tblArrivalSorted[[#Headers],[Id]]:tblArrivalSorted[[#This Row],[Id]])-1))</f>
        <v/>
      </c>
      <c r="CC37" s="6" t="str">
        <f t="array" ref="CC37">IF(ROWS(tblData[[#Headers],[Sorted Dep Id]]:tblData[[#This Row],[Sorted Dep Id]])-1&gt;$CC$11,"",INDEX(tblData[Sorted Dep Id],SMALL(IF(LEN(TRIM(tblData[Surname]))*(tblData[Dep DateTime]&gt;0),ROW(tblData[Sorted Dep Id])-ROW(tblData[[#Headers],[Sorted Dep Id]])),ROWS(tblData[[#Headers],[Sorted Dep Id]]:tblData[[#This Row],[Sorted Dep Id]])-1)))</f>
        <v/>
      </c>
      <c r="CE37" s="6" t="str">
        <f>IF(ROWS(tblDepartureSorted[[#Headers],[Id]]:tblDepartureSorted[[#This Row],[Id]])-1&gt;$CE$11,"",SMALL(tblDeparture[Id],ROWS(tblDepartureSorted[[#Headers],[Id]]:tblDepartureSorted[[#This Row],[Id]])-1))</f>
        <v/>
      </c>
      <c r="CG37" s="6" t="str">
        <f t="array" ref="CG37">IF(ROWS(tblData[[#Headers],[Id]]:tblData[[#This Row],[Id]])-1&gt;$CG$11,"",INDEX(tblData[Id],SMALL(IF(LEN(TRIM(tblData[Surname])),ROW(tblData[Id])-ROW(tblData[[#Headers],[Id]])),ROWS(tblData[[#Headers],[Id]]:tblData[[#This Row],[Id]])-1)))</f>
        <v/>
      </c>
    </row>
    <row r="38" spans="1:85" s="6" customFormat="1">
      <c r="A38" s="14">
        <f>IF(ISNUMBER(tblData[[#This Row],[SubType2]]),tblData[[#This Row],[SubType2]]*10000+tblData[[#This Row],[No]],1000000+tblData[[#This Row],[No]])</f>
        <v>1000025</v>
      </c>
      <c r="B38" s="14">
        <f>IFERROR(tblData[[#This Row],[Surname Rang]]*1000+tblData[[#This Row],[Given Name Rang]]+tblData[[#This Row],[No]]/1000,"")</f>
        <v>2.5000000000000001E-2</v>
      </c>
      <c r="C38" s="14">
        <f>IFERROR(tblData[[#This Row],[Arr DateTime Rang]]+tblData[[#This Row],[No]]/1000,"")</f>
        <v>110.02500000000001</v>
      </c>
      <c r="D38" s="14">
        <f>IFERROR(tblData[[#This Row],[Dep DateTime Rang]]+tblData[[#This Row],[No]]/1000,"")</f>
        <v>110.02500000000001</v>
      </c>
      <c r="E38" s="362">
        <f t="shared" si="1"/>
        <v>25</v>
      </c>
      <c r="F38" s="370"/>
      <c r="G38" s="331"/>
      <c r="H38" s="328"/>
      <c r="I38" s="329"/>
      <c r="J38" s="330"/>
      <c r="K38" s="369"/>
      <c r="L38" s="375"/>
      <c r="M38" s="331"/>
      <c r="N38" s="331"/>
      <c r="O38" s="331"/>
      <c r="P38" s="329"/>
      <c r="Q38" s="376"/>
      <c r="R38" s="383"/>
      <c r="S38" s="332"/>
      <c r="T38" s="331"/>
      <c r="U38" s="333"/>
      <c r="V38" s="333"/>
      <c r="W38" s="384"/>
      <c r="X38" s="383"/>
      <c r="Y38" s="332"/>
      <c r="Z38" s="331"/>
      <c r="AA38" s="331"/>
      <c r="AB38" s="333"/>
      <c r="AC38" s="384"/>
      <c r="AD38" s="375"/>
      <c r="AE38" s="369"/>
      <c r="AF38" s="397"/>
      <c r="AG38" s="328"/>
      <c r="AH38" s="328"/>
      <c r="AI38" s="328"/>
      <c r="AJ38" s="328"/>
      <c r="AK38" s="328"/>
      <c r="AL38" s="328"/>
      <c r="AM38" s="328"/>
      <c r="AN38" s="398"/>
      <c r="AO38" s="402" t="str">
        <f>IF(ISBLANK(tblData[[#This Row],[Surname]]),"",IF(tblData[[#This Row],[Bill Accred Fee]]=0,"NO","YES"))</f>
        <v/>
      </c>
      <c r="AP38" s="406">
        <f>IF(AND(NOT(ISBLANK(tblData[[#This Row],[Surname]])),COUNTA(tblData[[#This Row],[Day 1]:[Day 9]])=0),1,0)</f>
        <v>0</v>
      </c>
      <c r="AQ38" s="406">
        <f>IF(AND(NOT(ISBLANK(tblData[[#This Row],[Surname]])),tblData[[#This Row],[Position]]="Athlete"),1,0)</f>
        <v>0</v>
      </c>
      <c r="AR38" s="433">
        <f>EntryFee*tblData[[#This Row],[Entry Fee Billable]]</f>
        <v>0</v>
      </c>
      <c r="AS38" s="410" t="e">
        <f>IF(ISBLANK(SelectedCategory),"No Cat!",IF(ISBLANK($F38),0,IFERROR(VLOOKUP(AS$12&amp;", "&amp;tblData[[#This Row],[Day 1]],tblAccommodationCosts[],5,FALSE),0)+IFERROR(VLOOKUP(AS$12&amp;", "&amp;tblData[[#This Row],[Day 2]],tblAccommodationCosts[],5,FALSE),0)+IFERROR(VLOOKUP(AS$12&amp;", "&amp;tblData[[#This Row],[Day 3]],tblAccommodationCosts[],5,FALSE),0)+IFERROR(VLOOKUP(AS$12&amp;", "&amp;tblData[[#This Row],[Day 4]],tblAccommodationCosts[],5,FALSE),0)+IFERROR(VLOOKUP(AS$12&amp;", "&amp;tblData[[#This Row],[Day 5]],tblAccommodationCosts[],5,FALSE),0)+IFERROR(VLOOKUP(AS$12&amp;", "&amp;tblData[[#This Row],[Day 6]],tblAccommodationCosts[],5,FALSE),0)+IFERROR(VLOOKUP(AS$12&amp;", "&amp;tblData[[#This Row],[Day 7]],tblAccommodationCosts[],5,FALSE),0)+IFERROR(VLOOKUP(AS$12&amp;", "&amp;tblData[[#This Row],[Day 8]],tblAccommodationCosts[],5,FALSE),0)+IFERROR(VLOOKUP(AS$12&amp;", "&amp;tblData[[#This Row],[Day 9]],tblAccommodationCosts[],5,FALSE),0)+AccreditationFee*tblData[[#This Row],[Bill Accred Fee]]))+tblData[[#This Row],[Entry Fee]]</f>
        <v>#VALUE!</v>
      </c>
      <c r="AT38" s="324" t="str">
        <f>IFERROR(VLOOKUP(tblData[[#This Row],[Weight Category, Function, and Gender]],tblWeightOrFunction[],3,0),"")</f>
        <v/>
      </c>
      <c r="AU38" s="84" t="str">
        <f>IFERROR(VLOOKUP(tblData[[#This Row],[Weight Category, Function, and Gender]],tblWeightOrFunction[],4,0),"")</f>
        <v/>
      </c>
      <c r="AV38" s="85" t="str">
        <f>IFERROR(VLOOKUP(tblData[[#This Row],[Weight Category, Function, and Gender]],tblWeightOrFunction[],7,0),"")</f>
        <v/>
      </c>
      <c r="AW38" s="84" t="str">
        <f>IFERROR(VLOOKUP(tblData[[#This Row],[Weight Category, Function, and Gender]],tblWeightOrFunction[],6,0),"")</f>
        <v/>
      </c>
      <c r="AX38" s="84" t="str">
        <f>IFERROR(VLOOKUP(tblData[[#This Row],[Weight Category, Function, and Gender]],tblWeightOrFunction[],2,0),"")</f>
        <v/>
      </c>
      <c r="AY38" s="75">
        <f>tblData[[#This Row],[Arr Date]]+tblData[[#This Row],[Arr Time]]</f>
        <v>0</v>
      </c>
      <c r="AZ38" s="75">
        <f>tblData[[#This Row],[Dep Date]]+tblData[[#This Row],[Dep Time]]</f>
        <v>0</v>
      </c>
      <c r="BA38" s="72">
        <f>COUNTIF(tblData[Surname],"&lt;="&amp;tblData[Surname])</f>
        <v>0</v>
      </c>
      <c r="BB38" s="72">
        <f>COUNTIF(tblData[Given name],"&lt;="&amp;tblData[Given name])</f>
        <v>0</v>
      </c>
      <c r="BC38" s="72">
        <f>COUNTIF(tblData[Arr DateTime],"&lt;="&amp;tblData[Arr DateTime])</f>
        <v>110</v>
      </c>
      <c r="BD38" s="72">
        <f>COUNTIF(tblData[Dep DateTime],"&lt;="&amp;tblData[Dep DateTime])</f>
        <v>110</v>
      </c>
      <c r="BE38" s="72">
        <f>COUNTIF(tblData[ShuttleAtDeparture],"&lt;="&amp;tblData[ShuttleAtDeparture])</f>
        <v>0</v>
      </c>
      <c r="BI38" s="6" t="str">
        <f t="array" ref="BI38">IF(ROWS(tblData[[#Headers],[Id]]:tblData[[#This Row],[Id]])-1&gt;$BI$11,"",INDEX(tblData[Id],SMALL(IF(LEN(TRIM(tblData[Surname]))*((tblData[Type]=$BI$9)+(tblData[Type]=$BI$10)),ROW(tblData[Id])-ROW(tblData[[#Headers],[Id]])),ROWS(tblData[[#Headers],[Id]]:tblData[[#This Row],[Id]])-1)))</f>
        <v/>
      </c>
      <c r="BK38" s="6" t="str">
        <f>IF(ROWS(tblCoachesAndOfficialsSorted[[#Headers],[Id]]:tblCoachesAndOfficialsSorted[[#This Row],[Id]])-1&gt;$BK$11,"",SMALL(tblCoachesAndOfficials[Id],ROWS(tblCoachesAndOfficialsSorted[[#Headers],[Id]]:tblCoachesAndOfficialsSorted[[#This Row],[Id]])-1))</f>
        <v/>
      </c>
      <c r="BM38" s="6" t="str">
        <f t="array" ref="BM38">IF(ROWS(tblData[[#Headers],[Id]]:tblData[[#This Row],[Id]])-1&gt;$BM$11,"",INDEX(tblData[Id],SMALL(IF(LEN(TRIM(tblData[Surname]))*(tblData[Type]=$BM$9),ROW(tblData[Id])-ROW(tblData[[#Headers],[Id]])),ROWS(tblData[[#Headers],[Id]]:tblData[[#This Row],[Id]])-1)))</f>
        <v/>
      </c>
      <c r="BO38" s="6" t="str">
        <f>IF(ROWS(tblWomenSorted[[#Headers],[Id]]:tblWomenSorted[[#This Row],[Id]])-1&gt;$BO$11,"",SMALL(tblWomen[Id],ROWS(tblWomenSorted[[#Headers],[Id]]:tblWomenSorted[[#This Row],[Id]])-1))</f>
        <v/>
      </c>
      <c r="BP38" s="17"/>
      <c r="BQ38" s="6" t="str">
        <f t="array" ref="BQ38">IF(ROWS(tblData[[#Headers],[Id]]:tblData[[#This Row],[Id]])-1&gt;$BQ$11,"",INDEX(tblData[Id],SMALL(IF(LEN(TRIM(tblData[Surname]))*(tblData[Type]=$BQ$9),ROW(tblData[Id])-ROW(tblData[[#Headers],[Id]])),ROWS(tblData[[#Headers],[Id]]:tblData[[#This Row],[Id]])-1)))</f>
        <v/>
      </c>
      <c r="BS38" s="6" t="str">
        <f>IF(ROWS(tblMenSorted[[#Headers],[Id]]:tblMenSorted[[#This Row],[Id]])-1&gt;$BS$11,"",SMALL(tblMen[Id],ROWS(tblMenSorted[[#Headers],[Id]]:tblMenSorted[[#This Row],[Id]])-1))</f>
        <v/>
      </c>
      <c r="BU38" s="6" t="str">
        <f t="array" ref="BU38">IF(ROWS(tblData[[#Headers],[Sorted Name Id]]:tblData[[#This Row],[Sorted Name Id]])-1&gt;$BU$11,"",INDEX(tblData[Sorted Name Id],SMALL(IF(LEN(TRIM(tblData[Surname]))*(tblData[Visa required]="YES"),ROW(tblData[Sorted Name Id])-ROW(tblData[[#Headers],[Sorted Name Id]])),ROWS(tblData[[#Headers],[Sorted Name Id]]:tblData[[#This Row],[Sorted Name Id]])-1)))</f>
        <v/>
      </c>
      <c r="BW38" s="6" t="str">
        <f>IF(ROWS(tblVisasSorted[[#Headers],[Id]]:tblVisasSorted[[#This Row],[Id]])-1&gt;$BW$11,"",SMALL(tblVisas[Id],ROWS(tblVisasSorted[[#Headers],[Id]]:tblVisasSorted[[#This Row],[Id]])-1))</f>
        <v/>
      </c>
      <c r="BY38" s="6" t="str">
        <f t="array" ref="BY38">IF(ROWS(tblData[[#Headers],[Sorted Arr Id]]:tblData[[#This Row],[Sorted Arr Id]])-1&gt;$BY$11,"",INDEX(tblData[Sorted Arr Id],SMALL(IF(LEN(TRIM(tblData[Surname]))*(tblData[Arr DateTime]&gt;0),ROW(tblData[Sorted Arr Id])-ROW(tblData[[#Headers],[Sorted Arr Id]])),ROWS(tblData[[#Headers],[Sorted Arr Id]]:tblData[[#This Row],[Sorted Arr Id]])-1)))</f>
        <v/>
      </c>
      <c r="CA38" s="6" t="str">
        <f>IF(ROWS(tblArrivalSorted[[#Headers],[Id]]:tblArrivalSorted[[#This Row],[Id]])-1&gt;$CA$11,"",SMALL(tblArrival[Id],ROWS(tblArrivalSorted[[#Headers],[Id]]:tblArrivalSorted[[#This Row],[Id]])-1))</f>
        <v/>
      </c>
      <c r="CC38" s="6" t="str">
        <f t="array" ref="CC38">IF(ROWS(tblData[[#Headers],[Sorted Dep Id]]:tblData[[#This Row],[Sorted Dep Id]])-1&gt;$CC$11,"",INDEX(tblData[Sorted Dep Id],SMALL(IF(LEN(TRIM(tblData[Surname]))*(tblData[Dep DateTime]&gt;0),ROW(tblData[Sorted Dep Id])-ROW(tblData[[#Headers],[Sorted Dep Id]])),ROWS(tblData[[#Headers],[Sorted Dep Id]]:tblData[[#This Row],[Sorted Dep Id]])-1)))</f>
        <v/>
      </c>
      <c r="CE38" s="6" t="str">
        <f>IF(ROWS(tblDepartureSorted[[#Headers],[Id]]:tblDepartureSorted[[#This Row],[Id]])-1&gt;$CE$11,"",SMALL(tblDeparture[Id],ROWS(tblDepartureSorted[[#Headers],[Id]]:tblDepartureSorted[[#This Row],[Id]])-1))</f>
        <v/>
      </c>
      <c r="CG38" s="6" t="str">
        <f t="array" ref="CG38">IF(ROWS(tblData[[#Headers],[Id]]:tblData[[#This Row],[Id]])-1&gt;$CG$11,"",INDEX(tblData[Id],SMALL(IF(LEN(TRIM(tblData[Surname])),ROW(tblData[Id])-ROW(tblData[[#Headers],[Id]])),ROWS(tblData[[#Headers],[Id]]:tblData[[#This Row],[Id]])-1)))</f>
        <v/>
      </c>
    </row>
    <row r="39" spans="1:85" s="6" customFormat="1">
      <c r="A39" s="14">
        <f>IF(ISNUMBER(tblData[[#This Row],[SubType2]]),tblData[[#This Row],[SubType2]]*10000+tblData[[#This Row],[No]],1000000+tblData[[#This Row],[No]])</f>
        <v>1000026</v>
      </c>
      <c r="B39" s="14">
        <f>IFERROR(tblData[[#This Row],[Surname Rang]]*1000+tblData[[#This Row],[Given Name Rang]]+tblData[[#This Row],[No]]/1000,"")</f>
        <v>2.5999999999999999E-2</v>
      </c>
      <c r="C39" s="14">
        <f>IFERROR(tblData[[#This Row],[Arr DateTime Rang]]+tblData[[#This Row],[No]]/1000,"")</f>
        <v>110.026</v>
      </c>
      <c r="D39" s="14">
        <f>IFERROR(tblData[[#This Row],[Dep DateTime Rang]]+tblData[[#This Row],[No]]/1000,"")</f>
        <v>110.026</v>
      </c>
      <c r="E39" s="362">
        <f t="shared" si="1"/>
        <v>26</v>
      </c>
      <c r="F39" s="370"/>
      <c r="G39" s="331"/>
      <c r="H39" s="328"/>
      <c r="I39" s="329"/>
      <c r="J39" s="330"/>
      <c r="K39" s="369"/>
      <c r="L39" s="375"/>
      <c r="M39" s="331"/>
      <c r="N39" s="331"/>
      <c r="O39" s="331"/>
      <c r="P39" s="329"/>
      <c r="Q39" s="376"/>
      <c r="R39" s="383"/>
      <c r="S39" s="332"/>
      <c r="T39" s="331"/>
      <c r="U39" s="333"/>
      <c r="V39" s="333"/>
      <c r="W39" s="384"/>
      <c r="X39" s="383"/>
      <c r="Y39" s="332"/>
      <c r="Z39" s="331"/>
      <c r="AA39" s="331"/>
      <c r="AB39" s="333"/>
      <c r="AC39" s="384"/>
      <c r="AD39" s="375"/>
      <c r="AE39" s="369"/>
      <c r="AF39" s="397"/>
      <c r="AG39" s="328"/>
      <c r="AH39" s="328"/>
      <c r="AI39" s="328"/>
      <c r="AJ39" s="328"/>
      <c r="AK39" s="328"/>
      <c r="AL39" s="328"/>
      <c r="AM39" s="328"/>
      <c r="AN39" s="398"/>
      <c r="AO39" s="402" t="str">
        <f>IF(ISBLANK(tblData[[#This Row],[Surname]]),"",IF(tblData[[#This Row],[Bill Accred Fee]]=0,"NO","YES"))</f>
        <v/>
      </c>
      <c r="AP39" s="406">
        <f>IF(AND(NOT(ISBLANK(tblData[[#This Row],[Surname]])),COUNTA(tblData[[#This Row],[Day 1]:[Day 9]])=0),1,0)</f>
        <v>0</v>
      </c>
      <c r="AQ39" s="406">
        <f>IF(AND(NOT(ISBLANK(tblData[[#This Row],[Surname]])),tblData[[#This Row],[Position]]="Athlete"),1,0)</f>
        <v>0</v>
      </c>
      <c r="AR39" s="433">
        <f>EntryFee*tblData[[#This Row],[Entry Fee Billable]]</f>
        <v>0</v>
      </c>
      <c r="AS39" s="410" t="e">
        <f>IF(ISBLANK(SelectedCategory),"No Cat!",IF(ISBLANK($F39),0,IFERROR(VLOOKUP(AS$12&amp;", "&amp;tblData[[#This Row],[Day 1]],tblAccommodationCosts[],5,FALSE),0)+IFERROR(VLOOKUP(AS$12&amp;", "&amp;tblData[[#This Row],[Day 2]],tblAccommodationCosts[],5,FALSE),0)+IFERROR(VLOOKUP(AS$12&amp;", "&amp;tblData[[#This Row],[Day 3]],tblAccommodationCosts[],5,FALSE),0)+IFERROR(VLOOKUP(AS$12&amp;", "&amp;tblData[[#This Row],[Day 4]],tblAccommodationCosts[],5,FALSE),0)+IFERROR(VLOOKUP(AS$12&amp;", "&amp;tblData[[#This Row],[Day 5]],tblAccommodationCosts[],5,FALSE),0)+IFERROR(VLOOKUP(AS$12&amp;", "&amp;tblData[[#This Row],[Day 6]],tblAccommodationCosts[],5,FALSE),0)+IFERROR(VLOOKUP(AS$12&amp;", "&amp;tblData[[#This Row],[Day 7]],tblAccommodationCosts[],5,FALSE),0)+IFERROR(VLOOKUP(AS$12&amp;", "&amp;tblData[[#This Row],[Day 8]],tblAccommodationCosts[],5,FALSE),0)+IFERROR(VLOOKUP(AS$12&amp;", "&amp;tblData[[#This Row],[Day 9]],tblAccommodationCosts[],5,FALSE),0)+AccreditationFee*tblData[[#This Row],[Bill Accred Fee]]))+tblData[[#This Row],[Entry Fee]]</f>
        <v>#VALUE!</v>
      </c>
      <c r="AT39" s="324" t="str">
        <f>IFERROR(VLOOKUP(tblData[[#This Row],[Weight Category, Function, and Gender]],tblWeightOrFunction[],3,0),"")</f>
        <v/>
      </c>
      <c r="AU39" s="84" t="str">
        <f>IFERROR(VLOOKUP(tblData[[#This Row],[Weight Category, Function, and Gender]],tblWeightOrFunction[],4,0),"")</f>
        <v/>
      </c>
      <c r="AV39" s="85" t="str">
        <f>IFERROR(VLOOKUP(tblData[[#This Row],[Weight Category, Function, and Gender]],tblWeightOrFunction[],7,0),"")</f>
        <v/>
      </c>
      <c r="AW39" s="84" t="str">
        <f>IFERROR(VLOOKUP(tblData[[#This Row],[Weight Category, Function, and Gender]],tblWeightOrFunction[],6,0),"")</f>
        <v/>
      </c>
      <c r="AX39" s="84" t="str">
        <f>IFERROR(VLOOKUP(tblData[[#This Row],[Weight Category, Function, and Gender]],tblWeightOrFunction[],2,0),"")</f>
        <v/>
      </c>
      <c r="AY39" s="75">
        <f>tblData[[#This Row],[Arr Date]]+tblData[[#This Row],[Arr Time]]</f>
        <v>0</v>
      </c>
      <c r="AZ39" s="75">
        <f>tblData[[#This Row],[Dep Date]]+tblData[[#This Row],[Dep Time]]</f>
        <v>0</v>
      </c>
      <c r="BA39" s="72">
        <f>COUNTIF(tblData[Surname],"&lt;="&amp;tblData[Surname])</f>
        <v>0</v>
      </c>
      <c r="BB39" s="72">
        <f>COUNTIF(tblData[Given name],"&lt;="&amp;tblData[Given name])</f>
        <v>0</v>
      </c>
      <c r="BC39" s="72">
        <f>COUNTIF(tblData[Arr DateTime],"&lt;="&amp;tblData[Arr DateTime])</f>
        <v>110</v>
      </c>
      <c r="BD39" s="72">
        <f>COUNTIF(tblData[Dep DateTime],"&lt;="&amp;tblData[Dep DateTime])</f>
        <v>110</v>
      </c>
      <c r="BE39" s="72">
        <f>COUNTIF(tblData[ShuttleAtDeparture],"&lt;="&amp;tblData[ShuttleAtDeparture])</f>
        <v>0</v>
      </c>
      <c r="BI39" s="6" t="str">
        <f t="array" ref="BI39">IF(ROWS(tblData[[#Headers],[Id]]:tblData[[#This Row],[Id]])-1&gt;$BI$11,"",INDEX(tblData[Id],SMALL(IF(LEN(TRIM(tblData[Surname]))*((tblData[Type]=$BI$9)+(tblData[Type]=$BI$10)),ROW(tblData[Id])-ROW(tblData[[#Headers],[Id]])),ROWS(tblData[[#Headers],[Id]]:tblData[[#This Row],[Id]])-1)))</f>
        <v/>
      </c>
      <c r="BK39" s="6" t="str">
        <f>IF(ROWS(tblCoachesAndOfficialsSorted[[#Headers],[Id]]:tblCoachesAndOfficialsSorted[[#This Row],[Id]])-1&gt;$BK$11,"",SMALL(tblCoachesAndOfficials[Id],ROWS(tblCoachesAndOfficialsSorted[[#Headers],[Id]]:tblCoachesAndOfficialsSorted[[#This Row],[Id]])-1))</f>
        <v/>
      </c>
      <c r="BM39" s="6" t="str">
        <f t="array" ref="BM39">IF(ROWS(tblData[[#Headers],[Id]]:tblData[[#This Row],[Id]])-1&gt;$BM$11,"",INDEX(tblData[Id],SMALL(IF(LEN(TRIM(tblData[Surname]))*(tblData[Type]=$BM$9),ROW(tblData[Id])-ROW(tblData[[#Headers],[Id]])),ROWS(tblData[[#Headers],[Id]]:tblData[[#This Row],[Id]])-1)))</f>
        <v/>
      </c>
      <c r="BO39" s="6" t="str">
        <f>IF(ROWS(tblWomenSorted[[#Headers],[Id]]:tblWomenSorted[[#This Row],[Id]])-1&gt;$BO$11,"",SMALL(tblWomen[Id],ROWS(tblWomenSorted[[#Headers],[Id]]:tblWomenSorted[[#This Row],[Id]])-1))</f>
        <v/>
      </c>
      <c r="BP39" s="17"/>
      <c r="BQ39" s="6" t="str">
        <f t="array" ref="BQ39">IF(ROWS(tblData[[#Headers],[Id]]:tblData[[#This Row],[Id]])-1&gt;$BQ$11,"",INDEX(tblData[Id],SMALL(IF(LEN(TRIM(tblData[Surname]))*(tblData[Type]=$BQ$9),ROW(tblData[Id])-ROW(tblData[[#Headers],[Id]])),ROWS(tblData[[#Headers],[Id]]:tblData[[#This Row],[Id]])-1)))</f>
        <v/>
      </c>
      <c r="BS39" s="6" t="str">
        <f>IF(ROWS(tblMenSorted[[#Headers],[Id]]:tblMenSorted[[#This Row],[Id]])-1&gt;$BS$11,"",SMALL(tblMen[Id],ROWS(tblMenSorted[[#Headers],[Id]]:tblMenSorted[[#This Row],[Id]])-1))</f>
        <v/>
      </c>
      <c r="BU39" s="6" t="str">
        <f t="array" ref="BU39">IF(ROWS(tblData[[#Headers],[Sorted Name Id]]:tblData[[#This Row],[Sorted Name Id]])-1&gt;$BU$11,"",INDEX(tblData[Sorted Name Id],SMALL(IF(LEN(TRIM(tblData[Surname]))*(tblData[Visa required]="YES"),ROW(tblData[Sorted Name Id])-ROW(tblData[[#Headers],[Sorted Name Id]])),ROWS(tblData[[#Headers],[Sorted Name Id]]:tblData[[#This Row],[Sorted Name Id]])-1)))</f>
        <v/>
      </c>
      <c r="BW39" s="6" t="str">
        <f>IF(ROWS(tblVisasSorted[[#Headers],[Id]]:tblVisasSorted[[#This Row],[Id]])-1&gt;$BW$11,"",SMALL(tblVisas[Id],ROWS(tblVisasSorted[[#Headers],[Id]]:tblVisasSorted[[#This Row],[Id]])-1))</f>
        <v/>
      </c>
      <c r="BY39" s="6" t="str">
        <f t="array" ref="BY39">IF(ROWS(tblData[[#Headers],[Sorted Arr Id]]:tblData[[#This Row],[Sorted Arr Id]])-1&gt;$BY$11,"",INDEX(tblData[Sorted Arr Id],SMALL(IF(LEN(TRIM(tblData[Surname]))*(tblData[Arr DateTime]&gt;0),ROW(tblData[Sorted Arr Id])-ROW(tblData[[#Headers],[Sorted Arr Id]])),ROWS(tblData[[#Headers],[Sorted Arr Id]]:tblData[[#This Row],[Sorted Arr Id]])-1)))</f>
        <v/>
      </c>
      <c r="CA39" s="6" t="str">
        <f>IF(ROWS(tblArrivalSorted[[#Headers],[Id]]:tblArrivalSorted[[#This Row],[Id]])-1&gt;$CA$11,"",SMALL(tblArrival[Id],ROWS(tblArrivalSorted[[#Headers],[Id]]:tblArrivalSorted[[#This Row],[Id]])-1))</f>
        <v/>
      </c>
      <c r="CC39" s="6" t="str">
        <f t="array" ref="CC39">IF(ROWS(tblData[[#Headers],[Sorted Dep Id]]:tblData[[#This Row],[Sorted Dep Id]])-1&gt;$CC$11,"",INDEX(tblData[Sorted Dep Id],SMALL(IF(LEN(TRIM(tblData[Surname]))*(tblData[Dep DateTime]&gt;0),ROW(tblData[Sorted Dep Id])-ROW(tblData[[#Headers],[Sorted Dep Id]])),ROWS(tblData[[#Headers],[Sorted Dep Id]]:tblData[[#This Row],[Sorted Dep Id]])-1)))</f>
        <v/>
      </c>
      <c r="CE39" s="6" t="str">
        <f>IF(ROWS(tblDepartureSorted[[#Headers],[Id]]:tblDepartureSorted[[#This Row],[Id]])-1&gt;$CE$11,"",SMALL(tblDeparture[Id],ROWS(tblDepartureSorted[[#Headers],[Id]]:tblDepartureSorted[[#This Row],[Id]])-1))</f>
        <v/>
      </c>
      <c r="CG39" s="6" t="str">
        <f t="array" ref="CG39">IF(ROWS(tblData[[#Headers],[Id]]:tblData[[#This Row],[Id]])-1&gt;$CG$11,"",INDEX(tblData[Id],SMALL(IF(LEN(TRIM(tblData[Surname])),ROW(tblData[Id])-ROW(tblData[[#Headers],[Id]])),ROWS(tblData[[#Headers],[Id]]:tblData[[#This Row],[Id]])-1)))</f>
        <v/>
      </c>
    </row>
    <row r="40" spans="1:85" s="6" customFormat="1">
      <c r="A40" s="14">
        <f>IF(ISNUMBER(tblData[[#This Row],[SubType2]]),tblData[[#This Row],[SubType2]]*10000+tblData[[#This Row],[No]],1000000+tblData[[#This Row],[No]])</f>
        <v>1000027</v>
      </c>
      <c r="B40" s="14">
        <f>IFERROR(tblData[[#This Row],[Surname Rang]]*1000+tblData[[#This Row],[Given Name Rang]]+tblData[[#This Row],[No]]/1000,"")</f>
        <v>2.7E-2</v>
      </c>
      <c r="C40" s="14">
        <f>IFERROR(tblData[[#This Row],[Arr DateTime Rang]]+tblData[[#This Row],[No]]/1000,"")</f>
        <v>110.027</v>
      </c>
      <c r="D40" s="14">
        <f>IFERROR(tblData[[#This Row],[Dep DateTime Rang]]+tblData[[#This Row],[No]]/1000,"")</f>
        <v>110.027</v>
      </c>
      <c r="E40" s="362">
        <f t="shared" si="1"/>
        <v>27</v>
      </c>
      <c r="F40" s="370"/>
      <c r="G40" s="331"/>
      <c r="H40" s="328"/>
      <c r="I40" s="329"/>
      <c r="J40" s="330"/>
      <c r="K40" s="369"/>
      <c r="L40" s="375"/>
      <c r="M40" s="331"/>
      <c r="N40" s="331"/>
      <c r="O40" s="331"/>
      <c r="P40" s="329"/>
      <c r="Q40" s="376"/>
      <c r="R40" s="383"/>
      <c r="S40" s="332"/>
      <c r="T40" s="331"/>
      <c r="U40" s="333"/>
      <c r="V40" s="333"/>
      <c r="W40" s="384"/>
      <c r="X40" s="383"/>
      <c r="Y40" s="332"/>
      <c r="Z40" s="331"/>
      <c r="AA40" s="331"/>
      <c r="AB40" s="333"/>
      <c r="AC40" s="384"/>
      <c r="AD40" s="375"/>
      <c r="AE40" s="369"/>
      <c r="AF40" s="397"/>
      <c r="AG40" s="328"/>
      <c r="AH40" s="328"/>
      <c r="AI40" s="328"/>
      <c r="AJ40" s="328"/>
      <c r="AK40" s="328"/>
      <c r="AL40" s="328"/>
      <c r="AM40" s="328"/>
      <c r="AN40" s="398"/>
      <c r="AO40" s="402" t="str">
        <f>IF(ISBLANK(tblData[[#This Row],[Surname]]),"",IF(tblData[[#This Row],[Bill Accred Fee]]=0,"NO","YES"))</f>
        <v/>
      </c>
      <c r="AP40" s="406">
        <f>IF(AND(NOT(ISBLANK(tblData[[#This Row],[Surname]])),COUNTA(tblData[[#This Row],[Day 1]:[Day 9]])=0),1,0)</f>
        <v>0</v>
      </c>
      <c r="AQ40" s="406">
        <f>IF(AND(NOT(ISBLANK(tblData[[#This Row],[Surname]])),tblData[[#This Row],[Position]]="Athlete"),1,0)</f>
        <v>0</v>
      </c>
      <c r="AR40" s="433">
        <f>EntryFee*tblData[[#This Row],[Entry Fee Billable]]</f>
        <v>0</v>
      </c>
      <c r="AS40" s="410" t="e">
        <f>IF(ISBLANK(SelectedCategory),"No Cat!",IF(ISBLANK($F40),0,IFERROR(VLOOKUP(AS$12&amp;", "&amp;tblData[[#This Row],[Day 1]],tblAccommodationCosts[],5,FALSE),0)+IFERROR(VLOOKUP(AS$12&amp;", "&amp;tblData[[#This Row],[Day 2]],tblAccommodationCosts[],5,FALSE),0)+IFERROR(VLOOKUP(AS$12&amp;", "&amp;tblData[[#This Row],[Day 3]],tblAccommodationCosts[],5,FALSE),0)+IFERROR(VLOOKUP(AS$12&amp;", "&amp;tblData[[#This Row],[Day 4]],tblAccommodationCosts[],5,FALSE),0)+IFERROR(VLOOKUP(AS$12&amp;", "&amp;tblData[[#This Row],[Day 5]],tblAccommodationCosts[],5,FALSE),0)+IFERROR(VLOOKUP(AS$12&amp;", "&amp;tblData[[#This Row],[Day 6]],tblAccommodationCosts[],5,FALSE),0)+IFERROR(VLOOKUP(AS$12&amp;", "&amp;tblData[[#This Row],[Day 7]],tblAccommodationCosts[],5,FALSE),0)+IFERROR(VLOOKUP(AS$12&amp;", "&amp;tblData[[#This Row],[Day 8]],tblAccommodationCosts[],5,FALSE),0)+IFERROR(VLOOKUP(AS$12&amp;", "&amp;tblData[[#This Row],[Day 9]],tblAccommodationCosts[],5,FALSE),0)+AccreditationFee*tblData[[#This Row],[Bill Accred Fee]]))+tblData[[#This Row],[Entry Fee]]</f>
        <v>#VALUE!</v>
      </c>
      <c r="AT40" s="324" t="str">
        <f>IFERROR(VLOOKUP(tblData[[#This Row],[Weight Category, Function, and Gender]],tblWeightOrFunction[],3,0),"")</f>
        <v/>
      </c>
      <c r="AU40" s="84" t="str">
        <f>IFERROR(VLOOKUP(tblData[[#This Row],[Weight Category, Function, and Gender]],tblWeightOrFunction[],4,0),"")</f>
        <v/>
      </c>
      <c r="AV40" s="85" t="str">
        <f>IFERROR(VLOOKUP(tblData[[#This Row],[Weight Category, Function, and Gender]],tblWeightOrFunction[],7,0),"")</f>
        <v/>
      </c>
      <c r="AW40" s="84" t="str">
        <f>IFERROR(VLOOKUP(tblData[[#This Row],[Weight Category, Function, and Gender]],tblWeightOrFunction[],6,0),"")</f>
        <v/>
      </c>
      <c r="AX40" s="84" t="str">
        <f>IFERROR(VLOOKUP(tblData[[#This Row],[Weight Category, Function, and Gender]],tblWeightOrFunction[],2,0),"")</f>
        <v/>
      </c>
      <c r="AY40" s="75">
        <f>tblData[[#This Row],[Arr Date]]+tblData[[#This Row],[Arr Time]]</f>
        <v>0</v>
      </c>
      <c r="AZ40" s="75">
        <f>tblData[[#This Row],[Dep Date]]+tblData[[#This Row],[Dep Time]]</f>
        <v>0</v>
      </c>
      <c r="BA40" s="72">
        <f>COUNTIF(tblData[Surname],"&lt;="&amp;tblData[Surname])</f>
        <v>0</v>
      </c>
      <c r="BB40" s="72">
        <f>COUNTIF(tblData[Given name],"&lt;="&amp;tblData[Given name])</f>
        <v>0</v>
      </c>
      <c r="BC40" s="72">
        <f>COUNTIF(tblData[Arr DateTime],"&lt;="&amp;tblData[Arr DateTime])</f>
        <v>110</v>
      </c>
      <c r="BD40" s="72">
        <f>COUNTIF(tblData[Dep DateTime],"&lt;="&amp;tblData[Dep DateTime])</f>
        <v>110</v>
      </c>
      <c r="BE40" s="72">
        <f>COUNTIF(tblData[ShuttleAtDeparture],"&lt;="&amp;tblData[ShuttleAtDeparture])</f>
        <v>0</v>
      </c>
      <c r="BI40" s="6" t="str">
        <f t="array" ref="BI40">IF(ROWS(tblData[[#Headers],[Id]]:tblData[[#This Row],[Id]])-1&gt;$BI$11,"",INDEX(tblData[Id],SMALL(IF(LEN(TRIM(tblData[Surname]))*((tblData[Type]=$BI$9)+(tblData[Type]=$BI$10)),ROW(tblData[Id])-ROW(tblData[[#Headers],[Id]])),ROWS(tblData[[#Headers],[Id]]:tblData[[#This Row],[Id]])-1)))</f>
        <v/>
      </c>
      <c r="BK40" s="6" t="str">
        <f>IF(ROWS(tblCoachesAndOfficialsSorted[[#Headers],[Id]]:tblCoachesAndOfficialsSorted[[#This Row],[Id]])-1&gt;$BK$11,"",SMALL(tblCoachesAndOfficials[Id],ROWS(tblCoachesAndOfficialsSorted[[#Headers],[Id]]:tblCoachesAndOfficialsSorted[[#This Row],[Id]])-1))</f>
        <v/>
      </c>
      <c r="BM40" s="6" t="str">
        <f t="array" ref="BM40">IF(ROWS(tblData[[#Headers],[Id]]:tblData[[#This Row],[Id]])-1&gt;$BM$11,"",INDEX(tblData[Id],SMALL(IF(LEN(TRIM(tblData[Surname]))*(tblData[Type]=$BM$9),ROW(tblData[Id])-ROW(tblData[[#Headers],[Id]])),ROWS(tblData[[#Headers],[Id]]:tblData[[#This Row],[Id]])-1)))</f>
        <v/>
      </c>
      <c r="BO40" s="6" t="str">
        <f>IF(ROWS(tblWomenSorted[[#Headers],[Id]]:tblWomenSorted[[#This Row],[Id]])-1&gt;$BO$11,"",SMALL(tblWomen[Id],ROWS(tblWomenSorted[[#Headers],[Id]]:tblWomenSorted[[#This Row],[Id]])-1))</f>
        <v/>
      </c>
      <c r="BP40" s="17"/>
      <c r="BQ40" s="6" t="str">
        <f t="array" ref="BQ40">IF(ROWS(tblData[[#Headers],[Id]]:tblData[[#This Row],[Id]])-1&gt;$BQ$11,"",INDEX(tblData[Id],SMALL(IF(LEN(TRIM(tblData[Surname]))*(tblData[Type]=$BQ$9),ROW(tblData[Id])-ROW(tblData[[#Headers],[Id]])),ROWS(tblData[[#Headers],[Id]]:tblData[[#This Row],[Id]])-1)))</f>
        <v/>
      </c>
      <c r="BS40" s="6" t="str">
        <f>IF(ROWS(tblMenSorted[[#Headers],[Id]]:tblMenSorted[[#This Row],[Id]])-1&gt;$BS$11,"",SMALL(tblMen[Id],ROWS(tblMenSorted[[#Headers],[Id]]:tblMenSorted[[#This Row],[Id]])-1))</f>
        <v/>
      </c>
      <c r="BU40" s="6" t="str">
        <f t="array" ref="BU40">IF(ROWS(tblData[[#Headers],[Sorted Name Id]]:tblData[[#This Row],[Sorted Name Id]])-1&gt;$BU$11,"",INDEX(tblData[Sorted Name Id],SMALL(IF(LEN(TRIM(tblData[Surname]))*(tblData[Visa required]="YES"),ROW(tblData[Sorted Name Id])-ROW(tblData[[#Headers],[Sorted Name Id]])),ROWS(tblData[[#Headers],[Sorted Name Id]]:tblData[[#This Row],[Sorted Name Id]])-1)))</f>
        <v/>
      </c>
      <c r="BW40" s="6" t="str">
        <f>IF(ROWS(tblVisasSorted[[#Headers],[Id]]:tblVisasSorted[[#This Row],[Id]])-1&gt;$BW$11,"",SMALL(tblVisas[Id],ROWS(tblVisasSorted[[#Headers],[Id]]:tblVisasSorted[[#This Row],[Id]])-1))</f>
        <v/>
      </c>
      <c r="BY40" s="6" t="str">
        <f t="array" ref="BY40">IF(ROWS(tblData[[#Headers],[Sorted Arr Id]]:tblData[[#This Row],[Sorted Arr Id]])-1&gt;$BY$11,"",INDEX(tblData[Sorted Arr Id],SMALL(IF(LEN(TRIM(tblData[Surname]))*(tblData[Arr DateTime]&gt;0),ROW(tblData[Sorted Arr Id])-ROW(tblData[[#Headers],[Sorted Arr Id]])),ROWS(tblData[[#Headers],[Sorted Arr Id]]:tblData[[#This Row],[Sorted Arr Id]])-1)))</f>
        <v/>
      </c>
      <c r="CA40" s="6" t="str">
        <f>IF(ROWS(tblArrivalSorted[[#Headers],[Id]]:tblArrivalSorted[[#This Row],[Id]])-1&gt;$CA$11,"",SMALL(tblArrival[Id],ROWS(tblArrivalSorted[[#Headers],[Id]]:tblArrivalSorted[[#This Row],[Id]])-1))</f>
        <v/>
      </c>
      <c r="CC40" s="6" t="str">
        <f t="array" ref="CC40">IF(ROWS(tblData[[#Headers],[Sorted Dep Id]]:tblData[[#This Row],[Sorted Dep Id]])-1&gt;$CC$11,"",INDEX(tblData[Sorted Dep Id],SMALL(IF(LEN(TRIM(tblData[Surname]))*(tblData[Dep DateTime]&gt;0),ROW(tblData[Sorted Dep Id])-ROW(tblData[[#Headers],[Sorted Dep Id]])),ROWS(tblData[[#Headers],[Sorted Dep Id]]:tblData[[#This Row],[Sorted Dep Id]])-1)))</f>
        <v/>
      </c>
      <c r="CE40" s="6" t="str">
        <f>IF(ROWS(tblDepartureSorted[[#Headers],[Id]]:tblDepartureSorted[[#This Row],[Id]])-1&gt;$CE$11,"",SMALL(tblDeparture[Id],ROWS(tblDepartureSorted[[#Headers],[Id]]:tblDepartureSorted[[#This Row],[Id]])-1))</f>
        <v/>
      </c>
      <c r="CG40" s="6" t="str">
        <f t="array" ref="CG40">IF(ROWS(tblData[[#Headers],[Id]]:tblData[[#This Row],[Id]])-1&gt;$CG$11,"",INDEX(tblData[Id],SMALL(IF(LEN(TRIM(tblData[Surname])),ROW(tblData[Id])-ROW(tblData[[#Headers],[Id]])),ROWS(tblData[[#Headers],[Id]]:tblData[[#This Row],[Id]])-1)))</f>
        <v/>
      </c>
    </row>
    <row r="41" spans="1:85" s="6" customFormat="1">
      <c r="A41" s="14">
        <f>IF(ISNUMBER(tblData[[#This Row],[SubType2]]),tblData[[#This Row],[SubType2]]*10000+tblData[[#This Row],[No]],1000000+tblData[[#This Row],[No]])</f>
        <v>1000028</v>
      </c>
      <c r="B41" s="14">
        <f>IFERROR(tblData[[#This Row],[Surname Rang]]*1000+tblData[[#This Row],[Given Name Rang]]+tblData[[#This Row],[No]]/1000,"")</f>
        <v>2.8000000000000001E-2</v>
      </c>
      <c r="C41" s="14">
        <f>IFERROR(tblData[[#This Row],[Arr DateTime Rang]]+tblData[[#This Row],[No]]/1000,"")</f>
        <v>110.02800000000001</v>
      </c>
      <c r="D41" s="14">
        <f>IFERROR(tblData[[#This Row],[Dep DateTime Rang]]+tblData[[#This Row],[No]]/1000,"")</f>
        <v>110.02800000000001</v>
      </c>
      <c r="E41" s="362">
        <f t="shared" si="1"/>
        <v>28</v>
      </c>
      <c r="F41" s="370"/>
      <c r="G41" s="331"/>
      <c r="H41" s="328"/>
      <c r="I41" s="329"/>
      <c r="J41" s="330"/>
      <c r="K41" s="369"/>
      <c r="L41" s="375"/>
      <c r="M41" s="331"/>
      <c r="N41" s="331"/>
      <c r="O41" s="331"/>
      <c r="P41" s="329"/>
      <c r="Q41" s="376"/>
      <c r="R41" s="383"/>
      <c r="S41" s="332"/>
      <c r="T41" s="331"/>
      <c r="U41" s="333"/>
      <c r="V41" s="333"/>
      <c r="W41" s="384"/>
      <c r="X41" s="383"/>
      <c r="Y41" s="332"/>
      <c r="Z41" s="331"/>
      <c r="AA41" s="331"/>
      <c r="AB41" s="333"/>
      <c r="AC41" s="384"/>
      <c r="AD41" s="375"/>
      <c r="AE41" s="369"/>
      <c r="AF41" s="397"/>
      <c r="AG41" s="328"/>
      <c r="AH41" s="328"/>
      <c r="AI41" s="328"/>
      <c r="AJ41" s="328"/>
      <c r="AK41" s="328"/>
      <c r="AL41" s="328"/>
      <c r="AM41" s="328"/>
      <c r="AN41" s="398"/>
      <c r="AO41" s="402" t="str">
        <f>IF(ISBLANK(tblData[[#This Row],[Surname]]),"",IF(tblData[[#This Row],[Bill Accred Fee]]=0,"NO","YES"))</f>
        <v/>
      </c>
      <c r="AP41" s="406">
        <f>IF(AND(NOT(ISBLANK(tblData[[#This Row],[Surname]])),COUNTA(tblData[[#This Row],[Day 1]:[Day 9]])=0),1,0)</f>
        <v>0</v>
      </c>
      <c r="AQ41" s="406">
        <f>IF(AND(NOT(ISBLANK(tblData[[#This Row],[Surname]])),tblData[[#This Row],[Position]]="Athlete"),1,0)</f>
        <v>0</v>
      </c>
      <c r="AR41" s="433">
        <f>EntryFee*tblData[[#This Row],[Entry Fee Billable]]</f>
        <v>0</v>
      </c>
      <c r="AS41" s="410" t="e">
        <f>IF(ISBLANK(SelectedCategory),"No Cat!",IF(ISBLANK($F41),0,IFERROR(VLOOKUP(AS$12&amp;", "&amp;tblData[[#This Row],[Day 1]],tblAccommodationCosts[],5,FALSE),0)+IFERROR(VLOOKUP(AS$12&amp;", "&amp;tblData[[#This Row],[Day 2]],tblAccommodationCosts[],5,FALSE),0)+IFERROR(VLOOKUP(AS$12&amp;", "&amp;tblData[[#This Row],[Day 3]],tblAccommodationCosts[],5,FALSE),0)+IFERROR(VLOOKUP(AS$12&amp;", "&amp;tblData[[#This Row],[Day 4]],tblAccommodationCosts[],5,FALSE),0)+IFERROR(VLOOKUP(AS$12&amp;", "&amp;tblData[[#This Row],[Day 5]],tblAccommodationCosts[],5,FALSE),0)+IFERROR(VLOOKUP(AS$12&amp;", "&amp;tblData[[#This Row],[Day 6]],tblAccommodationCosts[],5,FALSE),0)+IFERROR(VLOOKUP(AS$12&amp;", "&amp;tblData[[#This Row],[Day 7]],tblAccommodationCosts[],5,FALSE),0)+IFERROR(VLOOKUP(AS$12&amp;", "&amp;tblData[[#This Row],[Day 8]],tblAccommodationCosts[],5,FALSE),0)+IFERROR(VLOOKUP(AS$12&amp;", "&amp;tblData[[#This Row],[Day 9]],tblAccommodationCosts[],5,FALSE),0)+AccreditationFee*tblData[[#This Row],[Bill Accred Fee]]))+tblData[[#This Row],[Entry Fee]]</f>
        <v>#VALUE!</v>
      </c>
      <c r="AT41" s="324" t="str">
        <f>IFERROR(VLOOKUP(tblData[[#This Row],[Weight Category, Function, and Gender]],tblWeightOrFunction[],3,0),"")</f>
        <v/>
      </c>
      <c r="AU41" s="84" t="str">
        <f>IFERROR(VLOOKUP(tblData[[#This Row],[Weight Category, Function, and Gender]],tblWeightOrFunction[],4,0),"")</f>
        <v/>
      </c>
      <c r="AV41" s="85" t="str">
        <f>IFERROR(VLOOKUP(tblData[[#This Row],[Weight Category, Function, and Gender]],tblWeightOrFunction[],7,0),"")</f>
        <v/>
      </c>
      <c r="AW41" s="84" t="str">
        <f>IFERROR(VLOOKUP(tblData[[#This Row],[Weight Category, Function, and Gender]],tblWeightOrFunction[],6,0),"")</f>
        <v/>
      </c>
      <c r="AX41" s="84" t="str">
        <f>IFERROR(VLOOKUP(tblData[[#This Row],[Weight Category, Function, and Gender]],tblWeightOrFunction[],2,0),"")</f>
        <v/>
      </c>
      <c r="AY41" s="75">
        <f>tblData[[#This Row],[Arr Date]]+tblData[[#This Row],[Arr Time]]</f>
        <v>0</v>
      </c>
      <c r="AZ41" s="75">
        <f>tblData[[#This Row],[Dep Date]]+tblData[[#This Row],[Dep Time]]</f>
        <v>0</v>
      </c>
      <c r="BA41" s="72">
        <f>COUNTIF(tblData[Surname],"&lt;="&amp;tblData[Surname])</f>
        <v>0</v>
      </c>
      <c r="BB41" s="72">
        <f>COUNTIF(tblData[Given name],"&lt;="&amp;tblData[Given name])</f>
        <v>0</v>
      </c>
      <c r="BC41" s="72">
        <f>COUNTIF(tblData[Arr DateTime],"&lt;="&amp;tblData[Arr DateTime])</f>
        <v>110</v>
      </c>
      <c r="BD41" s="72">
        <f>COUNTIF(tblData[Dep DateTime],"&lt;="&amp;tblData[Dep DateTime])</f>
        <v>110</v>
      </c>
      <c r="BE41" s="72">
        <f>COUNTIF(tblData[ShuttleAtDeparture],"&lt;="&amp;tblData[ShuttleAtDeparture])</f>
        <v>0</v>
      </c>
      <c r="BI41" s="6" t="str">
        <f t="array" ref="BI41">IF(ROWS(tblData[[#Headers],[Id]]:tblData[[#This Row],[Id]])-1&gt;$BI$11,"",INDEX(tblData[Id],SMALL(IF(LEN(TRIM(tblData[Surname]))*((tblData[Type]=$BI$9)+(tblData[Type]=$BI$10)),ROW(tblData[Id])-ROW(tblData[[#Headers],[Id]])),ROWS(tblData[[#Headers],[Id]]:tblData[[#This Row],[Id]])-1)))</f>
        <v/>
      </c>
      <c r="BK41" s="6" t="str">
        <f>IF(ROWS(tblCoachesAndOfficialsSorted[[#Headers],[Id]]:tblCoachesAndOfficialsSorted[[#This Row],[Id]])-1&gt;$BK$11,"",SMALL(tblCoachesAndOfficials[Id],ROWS(tblCoachesAndOfficialsSorted[[#Headers],[Id]]:tblCoachesAndOfficialsSorted[[#This Row],[Id]])-1))</f>
        <v/>
      </c>
      <c r="BM41" s="6" t="str">
        <f t="array" ref="BM41">IF(ROWS(tblData[[#Headers],[Id]]:tblData[[#This Row],[Id]])-1&gt;$BM$11,"",INDEX(tblData[Id],SMALL(IF(LEN(TRIM(tblData[Surname]))*(tblData[Type]=$BM$9),ROW(tblData[Id])-ROW(tblData[[#Headers],[Id]])),ROWS(tblData[[#Headers],[Id]]:tblData[[#This Row],[Id]])-1)))</f>
        <v/>
      </c>
      <c r="BO41" s="6" t="str">
        <f>IF(ROWS(tblWomenSorted[[#Headers],[Id]]:tblWomenSorted[[#This Row],[Id]])-1&gt;$BO$11,"",SMALL(tblWomen[Id],ROWS(tblWomenSorted[[#Headers],[Id]]:tblWomenSorted[[#This Row],[Id]])-1))</f>
        <v/>
      </c>
      <c r="BP41" s="17"/>
      <c r="BQ41" s="6" t="str">
        <f t="array" ref="BQ41">IF(ROWS(tblData[[#Headers],[Id]]:tblData[[#This Row],[Id]])-1&gt;$BQ$11,"",INDEX(tblData[Id],SMALL(IF(LEN(TRIM(tblData[Surname]))*(tblData[Type]=$BQ$9),ROW(tblData[Id])-ROW(tblData[[#Headers],[Id]])),ROWS(tblData[[#Headers],[Id]]:tblData[[#This Row],[Id]])-1)))</f>
        <v/>
      </c>
      <c r="BS41" s="6" t="str">
        <f>IF(ROWS(tblMenSorted[[#Headers],[Id]]:tblMenSorted[[#This Row],[Id]])-1&gt;$BS$11,"",SMALL(tblMen[Id],ROWS(tblMenSorted[[#Headers],[Id]]:tblMenSorted[[#This Row],[Id]])-1))</f>
        <v/>
      </c>
      <c r="BU41" s="6" t="str">
        <f t="array" ref="BU41">IF(ROWS(tblData[[#Headers],[Sorted Name Id]]:tblData[[#This Row],[Sorted Name Id]])-1&gt;$BU$11,"",INDEX(tblData[Sorted Name Id],SMALL(IF(LEN(TRIM(tblData[Surname]))*(tblData[Visa required]="YES"),ROW(tblData[Sorted Name Id])-ROW(tblData[[#Headers],[Sorted Name Id]])),ROWS(tblData[[#Headers],[Sorted Name Id]]:tblData[[#This Row],[Sorted Name Id]])-1)))</f>
        <v/>
      </c>
      <c r="BW41" s="6" t="str">
        <f>IF(ROWS(tblVisasSorted[[#Headers],[Id]]:tblVisasSorted[[#This Row],[Id]])-1&gt;$BW$11,"",SMALL(tblVisas[Id],ROWS(tblVisasSorted[[#Headers],[Id]]:tblVisasSorted[[#This Row],[Id]])-1))</f>
        <v/>
      </c>
      <c r="BY41" s="6" t="str">
        <f t="array" ref="BY41">IF(ROWS(tblData[[#Headers],[Sorted Arr Id]]:tblData[[#This Row],[Sorted Arr Id]])-1&gt;$BY$11,"",INDEX(tblData[Sorted Arr Id],SMALL(IF(LEN(TRIM(tblData[Surname]))*(tblData[Arr DateTime]&gt;0),ROW(tblData[Sorted Arr Id])-ROW(tblData[[#Headers],[Sorted Arr Id]])),ROWS(tblData[[#Headers],[Sorted Arr Id]]:tblData[[#This Row],[Sorted Arr Id]])-1)))</f>
        <v/>
      </c>
      <c r="CA41" s="6" t="str">
        <f>IF(ROWS(tblArrivalSorted[[#Headers],[Id]]:tblArrivalSorted[[#This Row],[Id]])-1&gt;$CA$11,"",SMALL(tblArrival[Id],ROWS(tblArrivalSorted[[#Headers],[Id]]:tblArrivalSorted[[#This Row],[Id]])-1))</f>
        <v/>
      </c>
      <c r="CC41" s="6" t="str">
        <f t="array" ref="CC41">IF(ROWS(tblData[[#Headers],[Sorted Dep Id]]:tblData[[#This Row],[Sorted Dep Id]])-1&gt;$CC$11,"",INDEX(tblData[Sorted Dep Id],SMALL(IF(LEN(TRIM(tblData[Surname]))*(tblData[Dep DateTime]&gt;0),ROW(tblData[Sorted Dep Id])-ROW(tblData[[#Headers],[Sorted Dep Id]])),ROWS(tblData[[#Headers],[Sorted Dep Id]]:tblData[[#This Row],[Sorted Dep Id]])-1)))</f>
        <v/>
      </c>
      <c r="CE41" s="6" t="str">
        <f>IF(ROWS(tblDepartureSorted[[#Headers],[Id]]:tblDepartureSorted[[#This Row],[Id]])-1&gt;$CE$11,"",SMALL(tblDeparture[Id],ROWS(tblDepartureSorted[[#Headers],[Id]]:tblDepartureSorted[[#This Row],[Id]])-1))</f>
        <v/>
      </c>
      <c r="CG41" s="6" t="str">
        <f t="array" ref="CG41">IF(ROWS(tblData[[#Headers],[Id]]:tblData[[#This Row],[Id]])-1&gt;$CG$11,"",INDEX(tblData[Id],SMALL(IF(LEN(TRIM(tblData[Surname])),ROW(tblData[Id])-ROW(tblData[[#Headers],[Id]])),ROWS(tblData[[#Headers],[Id]]:tblData[[#This Row],[Id]])-1)))</f>
        <v/>
      </c>
    </row>
    <row r="42" spans="1:85" s="6" customFormat="1">
      <c r="A42" s="14">
        <f>IF(ISNUMBER(tblData[[#This Row],[SubType2]]),tblData[[#This Row],[SubType2]]*10000+tblData[[#This Row],[No]],1000000+tblData[[#This Row],[No]])</f>
        <v>1000029</v>
      </c>
      <c r="B42" s="14">
        <f>IFERROR(tblData[[#This Row],[Surname Rang]]*1000+tblData[[#This Row],[Given Name Rang]]+tblData[[#This Row],[No]]/1000,"")</f>
        <v>2.9000000000000001E-2</v>
      </c>
      <c r="C42" s="14">
        <f>IFERROR(tblData[[#This Row],[Arr DateTime Rang]]+tblData[[#This Row],[No]]/1000,"")</f>
        <v>110.029</v>
      </c>
      <c r="D42" s="14">
        <f>IFERROR(tblData[[#This Row],[Dep DateTime Rang]]+tblData[[#This Row],[No]]/1000,"")</f>
        <v>110.029</v>
      </c>
      <c r="E42" s="362">
        <f t="shared" si="1"/>
        <v>29</v>
      </c>
      <c r="F42" s="370"/>
      <c r="G42" s="331"/>
      <c r="H42" s="328"/>
      <c r="I42" s="329"/>
      <c r="J42" s="330"/>
      <c r="K42" s="369"/>
      <c r="L42" s="375"/>
      <c r="M42" s="331"/>
      <c r="N42" s="331"/>
      <c r="O42" s="331"/>
      <c r="P42" s="329"/>
      <c r="Q42" s="376"/>
      <c r="R42" s="383"/>
      <c r="S42" s="332"/>
      <c r="T42" s="331"/>
      <c r="U42" s="333"/>
      <c r="V42" s="333"/>
      <c r="W42" s="384"/>
      <c r="X42" s="383"/>
      <c r="Y42" s="332"/>
      <c r="Z42" s="331"/>
      <c r="AA42" s="331"/>
      <c r="AB42" s="333"/>
      <c r="AC42" s="384"/>
      <c r="AD42" s="375"/>
      <c r="AE42" s="369"/>
      <c r="AF42" s="397"/>
      <c r="AG42" s="328"/>
      <c r="AH42" s="328"/>
      <c r="AI42" s="328"/>
      <c r="AJ42" s="328"/>
      <c r="AK42" s="328"/>
      <c r="AL42" s="328"/>
      <c r="AM42" s="328"/>
      <c r="AN42" s="398"/>
      <c r="AO42" s="402" t="str">
        <f>IF(ISBLANK(tblData[[#This Row],[Surname]]),"",IF(tblData[[#This Row],[Bill Accred Fee]]=0,"NO","YES"))</f>
        <v/>
      </c>
      <c r="AP42" s="406">
        <f>IF(AND(NOT(ISBLANK(tblData[[#This Row],[Surname]])),COUNTA(tblData[[#This Row],[Day 1]:[Day 9]])=0),1,0)</f>
        <v>0</v>
      </c>
      <c r="AQ42" s="406">
        <f>IF(AND(NOT(ISBLANK(tblData[[#This Row],[Surname]])),tblData[[#This Row],[Position]]="Athlete"),1,0)</f>
        <v>0</v>
      </c>
      <c r="AR42" s="433">
        <f>EntryFee*tblData[[#This Row],[Entry Fee Billable]]</f>
        <v>0</v>
      </c>
      <c r="AS42" s="410" t="e">
        <f>IF(ISBLANK(SelectedCategory),"No Cat!",IF(ISBLANK($F42),0,IFERROR(VLOOKUP(AS$12&amp;", "&amp;tblData[[#This Row],[Day 1]],tblAccommodationCosts[],5,FALSE),0)+IFERROR(VLOOKUP(AS$12&amp;", "&amp;tblData[[#This Row],[Day 2]],tblAccommodationCosts[],5,FALSE),0)+IFERROR(VLOOKUP(AS$12&amp;", "&amp;tblData[[#This Row],[Day 3]],tblAccommodationCosts[],5,FALSE),0)+IFERROR(VLOOKUP(AS$12&amp;", "&amp;tblData[[#This Row],[Day 4]],tblAccommodationCosts[],5,FALSE),0)+IFERROR(VLOOKUP(AS$12&amp;", "&amp;tblData[[#This Row],[Day 5]],tblAccommodationCosts[],5,FALSE),0)+IFERROR(VLOOKUP(AS$12&amp;", "&amp;tblData[[#This Row],[Day 6]],tblAccommodationCosts[],5,FALSE),0)+IFERROR(VLOOKUP(AS$12&amp;", "&amp;tblData[[#This Row],[Day 7]],tblAccommodationCosts[],5,FALSE),0)+IFERROR(VLOOKUP(AS$12&amp;", "&amp;tblData[[#This Row],[Day 8]],tblAccommodationCosts[],5,FALSE),0)+IFERROR(VLOOKUP(AS$12&amp;", "&amp;tblData[[#This Row],[Day 9]],tblAccommodationCosts[],5,FALSE),0)+AccreditationFee*tblData[[#This Row],[Bill Accred Fee]]))+tblData[[#This Row],[Entry Fee]]</f>
        <v>#VALUE!</v>
      </c>
      <c r="AT42" s="324" t="str">
        <f>IFERROR(VLOOKUP(tblData[[#This Row],[Weight Category, Function, and Gender]],tblWeightOrFunction[],3,0),"")</f>
        <v/>
      </c>
      <c r="AU42" s="84" t="str">
        <f>IFERROR(VLOOKUP(tblData[[#This Row],[Weight Category, Function, and Gender]],tblWeightOrFunction[],4,0),"")</f>
        <v/>
      </c>
      <c r="AV42" s="85" t="str">
        <f>IFERROR(VLOOKUP(tblData[[#This Row],[Weight Category, Function, and Gender]],tblWeightOrFunction[],7,0),"")</f>
        <v/>
      </c>
      <c r="AW42" s="84" t="str">
        <f>IFERROR(VLOOKUP(tblData[[#This Row],[Weight Category, Function, and Gender]],tblWeightOrFunction[],6,0),"")</f>
        <v/>
      </c>
      <c r="AX42" s="84" t="str">
        <f>IFERROR(VLOOKUP(tblData[[#This Row],[Weight Category, Function, and Gender]],tblWeightOrFunction[],2,0),"")</f>
        <v/>
      </c>
      <c r="AY42" s="75">
        <f>tblData[[#This Row],[Arr Date]]+tblData[[#This Row],[Arr Time]]</f>
        <v>0</v>
      </c>
      <c r="AZ42" s="75">
        <f>tblData[[#This Row],[Dep Date]]+tblData[[#This Row],[Dep Time]]</f>
        <v>0</v>
      </c>
      <c r="BA42" s="72">
        <f>COUNTIF(tblData[Surname],"&lt;="&amp;tblData[Surname])</f>
        <v>0</v>
      </c>
      <c r="BB42" s="72">
        <f>COUNTIF(tblData[Given name],"&lt;="&amp;tblData[Given name])</f>
        <v>0</v>
      </c>
      <c r="BC42" s="72">
        <f>COUNTIF(tblData[Arr DateTime],"&lt;="&amp;tblData[Arr DateTime])</f>
        <v>110</v>
      </c>
      <c r="BD42" s="72">
        <f>COUNTIF(tblData[Dep DateTime],"&lt;="&amp;tblData[Dep DateTime])</f>
        <v>110</v>
      </c>
      <c r="BE42" s="72">
        <f>COUNTIF(tblData[ShuttleAtDeparture],"&lt;="&amp;tblData[ShuttleAtDeparture])</f>
        <v>0</v>
      </c>
      <c r="BI42" s="6" t="str">
        <f t="array" ref="BI42">IF(ROWS(tblData[[#Headers],[Id]]:tblData[[#This Row],[Id]])-1&gt;$BI$11,"",INDEX(tblData[Id],SMALL(IF(LEN(TRIM(tblData[Surname]))*((tblData[Type]=$BI$9)+(tblData[Type]=$BI$10)),ROW(tblData[Id])-ROW(tblData[[#Headers],[Id]])),ROWS(tblData[[#Headers],[Id]]:tblData[[#This Row],[Id]])-1)))</f>
        <v/>
      </c>
      <c r="BK42" s="6" t="str">
        <f>IF(ROWS(tblCoachesAndOfficialsSorted[[#Headers],[Id]]:tblCoachesAndOfficialsSorted[[#This Row],[Id]])-1&gt;$BK$11,"",SMALL(tblCoachesAndOfficials[Id],ROWS(tblCoachesAndOfficialsSorted[[#Headers],[Id]]:tblCoachesAndOfficialsSorted[[#This Row],[Id]])-1))</f>
        <v/>
      </c>
      <c r="BM42" s="6" t="str">
        <f t="array" ref="BM42">IF(ROWS(tblData[[#Headers],[Id]]:tblData[[#This Row],[Id]])-1&gt;$BM$11,"",INDEX(tblData[Id],SMALL(IF(LEN(TRIM(tblData[Surname]))*(tblData[Type]=$BM$9),ROW(tblData[Id])-ROW(tblData[[#Headers],[Id]])),ROWS(tblData[[#Headers],[Id]]:tblData[[#This Row],[Id]])-1)))</f>
        <v/>
      </c>
      <c r="BO42" s="6" t="str">
        <f>IF(ROWS(tblWomenSorted[[#Headers],[Id]]:tblWomenSorted[[#This Row],[Id]])-1&gt;$BO$11,"",SMALL(tblWomen[Id],ROWS(tblWomenSorted[[#Headers],[Id]]:tblWomenSorted[[#This Row],[Id]])-1))</f>
        <v/>
      </c>
      <c r="BP42" s="17"/>
      <c r="BQ42" s="6" t="str">
        <f t="array" ref="BQ42">IF(ROWS(tblData[[#Headers],[Id]]:tblData[[#This Row],[Id]])-1&gt;$BQ$11,"",INDEX(tblData[Id],SMALL(IF(LEN(TRIM(tblData[Surname]))*(tblData[Type]=$BQ$9),ROW(tblData[Id])-ROW(tblData[[#Headers],[Id]])),ROWS(tblData[[#Headers],[Id]]:tblData[[#This Row],[Id]])-1)))</f>
        <v/>
      </c>
      <c r="BS42" s="6" t="str">
        <f>IF(ROWS(tblMenSorted[[#Headers],[Id]]:tblMenSorted[[#This Row],[Id]])-1&gt;$BS$11,"",SMALL(tblMen[Id],ROWS(tblMenSorted[[#Headers],[Id]]:tblMenSorted[[#This Row],[Id]])-1))</f>
        <v/>
      </c>
      <c r="BU42" s="6" t="str">
        <f t="array" ref="BU42">IF(ROWS(tblData[[#Headers],[Sorted Name Id]]:tblData[[#This Row],[Sorted Name Id]])-1&gt;$BU$11,"",INDEX(tblData[Sorted Name Id],SMALL(IF(LEN(TRIM(tblData[Surname]))*(tblData[Visa required]="YES"),ROW(tblData[Sorted Name Id])-ROW(tblData[[#Headers],[Sorted Name Id]])),ROWS(tblData[[#Headers],[Sorted Name Id]]:tblData[[#This Row],[Sorted Name Id]])-1)))</f>
        <v/>
      </c>
      <c r="BW42" s="6" t="str">
        <f>IF(ROWS(tblVisasSorted[[#Headers],[Id]]:tblVisasSorted[[#This Row],[Id]])-1&gt;$BW$11,"",SMALL(tblVisas[Id],ROWS(tblVisasSorted[[#Headers],[Id]]:tblVisasSorted[[#This Row],[Id]])-1))</f>
        <v/>
      </c>
      <c r="BY42" s="6" t="str">
        <f t="array" ref="BY42">IF(ROWS(tblData[[#Headers],[Sorted Arr Id]]:tblData[[#This Row],[Sorted Arr Id]])-1&gt;$BY$11,"",INDEX(tblData[Sorted Arr Id],SMALL(IF(LEN(TRIM(tblData[Surname]))*(tblData[Arr DateTime]&gt;0),ROW(tblData[Sorted Arr Id])-ROW(tblData[[#Headers],[Sorted Arr Id]])),ROWS(tblData[[#Headers],[Sorted Arr Id]]:tblData[[#This Row],[Sorted Arr Id]])-1)))</f>
        <v/>
      </c>
      <c r="CA42" s="6" t="str">
        <f>IF(ROWS(tblArrivalSorted[[#Headers],[Id]]:tblArrivalSorted[[#This Row],[Id]])-1&gt;$CA$11,"",SMALL(tblArrival[Id],ROWS(tblArrivalSorted[[#Headers],[Id]]:tblArrivalSorted[[#This Row],[Id]])-1))</f>
        <v/>
      </c>
      <c r="CC42" s="6" t="str">
        <f t="array" ref="CC42">IF(ROWS(tblData[[#Headers],[Sorted Dep Id]]:tblData[[#This Row],[Sorted Dep Id]])-1&gt;$CC$11,"",INDEX(tblData[Sorted Dep Id],SMALL(IF(LEN(TRIM(tblData[Surname]))*(tblData[Dep DateTime]&gt;0),ROW(tblData[Sorted Dep Id])-ROW(tblData[[#Headers],[Sorted Dep Id]])),ROWS(tblData[[#Headers],[Sorted Dep Id]]:tblData[[#This Row],[Sorted Dep Id]])-1)))</f>
        <v/>
      </c>
      <c r="CE42" s="6" t="str">
        <f>IF(ROWS(tblDepartureSorted[[#Headers],[Id]]:tblDepartureSorted[[#This Row],[Id]])-1&gt;$CE$11,"",SMALL(tblDeparture[Id],ROWS(tblDepartureSorted[[#Headers],[Id]]:tblDepartureSorted[[#This Row],[Id]])-1))</f>
        <v/>
      </c>
      <c r="CG42" s="6" t="str">
        <f t="array" ref="CG42">IF(ROWS(tblData[[#Headers],[Id]]:tblData[[#This Row],[Id]])-1&gt;$CG$11,"",INDEX(tblData[Id],SMALL(IF(LEN(TRIM(tblData[Surname])),ROW(tblData[Id])-ROW(tblData[[#Headers],[Id]])),ROWS(tblData[[#Headers],[Id]]:tblData[[#This Row],[Id]])-1)))</f>
        <v/>
      </c>
    </row>
    <row r="43" spans="1:85" s="6" customFormat="1">
      <c r="A43" s="14">
        <f>IF(ISNUMBER(tblData[[#This Row],[SubType2]]),tblData[[#This Row],[SubType2]]*10000+tblData[[#This Row],[No]],1000000+tblData[[#This Row],[No]])</f>
        <v>1000030</v>
      </c>
      <c r="B43" s="14">
        <f>IFERROR(tblData[[#This Row],[Surname Rang]]*1000+tblData[[#This Row],[Given Name Rang]]+tblData[[#This Row],[No]]/1000,"")</f>
        <v>0.03</v>
      </c>
      <c r="C43" s="14">
        <f>IFERROR(tblData[[#This Row],[Arr DateTime Rang]]+tblData[[#This Row],[No]]/1000,"")</f>
        <v>110.03</v>
      </c>
      <c r="D43" s="14">
        <f>IFERROR(tblData[[#This Row],[Dep DateTime Rang]]+tblData[[#This Row],[No]]/1000,"")</f>
        <v>110.03</v>
      </c>
      <c r="E43" s="362">
        <f t="shared" si="1"/>
        <v>30</v>
      </c>
      <c r="F43" s="370"/>
      <c r="G43" s="331"/>
      <c r="H43" s="328"/>
      <c r="I43" s="329"/>
      <c r="J43" s="330"/>
      <c r="K43" s="369"/>
      <c r="L43" s="375"/>
      <c r="M43" s="331"/>
      <c r="N43" s="331"/>
      <c r="O43" s="331"/>
      <c r="P43" s="329"/>
      <c r="Q43" s="376"/>
      <c r="R43" s="383"/>
      <c r="S43" s="332"/>
      <c r="T43" s="331"/>
      <c r="U43" s="333"/>
      <c r="V43" s="333"/>
      <c r="W43" s="384"/>
      <c r="X43" s="383"/>
      <c r="Y43" s="332"/>
      <c r="Z43" s="331"/>
      <c r="AA43" s="331"/>
      <c r="AB43" s="333"/>
      <c r="AC43" s="384"/>
      <c r="AD43" s="375"/>
      <c r="AE43" s="369"/>
      <c r="AF43" s="397"/>
      <c r="AG43" s="328"/>
      <c r="AH43" s="328"/>
      <c r="AI43" s="328"/>
      <c r="AJ43" s="328"/>
      <c r="AK43" s="328"/>
      <c r="AL43" s="328"/>
      <c r="AM43" s="328"/>
      <c r="AN43" s="398"/>
      <c r="AO43" s="402" t="str">
        <f>IF(ISBLANK(tblData[[#This Row],[Surname]]),"",IF(tblData[[#This Row],[Bill Accred Fee]]=0,"NO","YES"))</f>
        <v/>
      </c>
      <c r="AP43" s="406">
        <f>IF(AND(NOT(ISBLANK(tblData[[#This Row],[Surname]])),COUNTA(tblData[[#This Row],[Day 1]:[Day 9]])=0),1,0)</f>
        <v>0</v>
      </c>
      <c r="AQ43" s="406">
        <f>IF(AND(NOT(ISBLANK(tblData[[#This Row],[Surname]])),tblData[[#This Row],[Position]]="Athlete"),1,0)</f>
        <v>0</v>
      </c>
      <c r="AR43" s="433">
        <f>EntryFee*tblData[[#This Row],[Entry Fee Billable]]</f>
        <v>0</v>
      </c>
      <c r="AS43" s="410" t="e">
        <f>IF(ISBLANK(SelectedCategory),"No Cat!",IF(ISBLANK($F43),0,IFERROR(VLOOKUP(AS$12&amp;", "&amp;tblData[[#This Row],[Day 1]],tblAccommodationCosts[],5,FALSE),0)+IFERROR(VLOOKUP(AS$12&amp;", "&amp;tblData[[#This Row],[Day 2]],tblAccommodationCosts[],5,FALSE),0)+IFERROR(VLOOKUP(AS$12&amp;", "&amp;tblData[[#This Row],[Day 3]],tblAccommodationCosts[],5,FALSE),0)+IFERROR(VLOOKUP(AS$12&amp;", "&amp;tblData[[#This Row],[Day 4]],tblAccommodationCosts[],5,FALSE),0)+IFERROR(VLOOKUP(AS$12&amp;", "&amp;tblData[[#This Row],[Day 5]],tblAccommodationCosts[],5,FALSE),0)+IFERROR(VLOOKUP(AS$12&amp;", "&amp;tblData[[#This Row],[Day 6]],tblAccommodationCosts[],5,FALSE),0)+IFERROR(VLOOKUP(AS$12&amp;", "&amp;tblData[[#This Row],[Day 7]],tblAccommodationCosts[],5,FALSE),0)+IFERROR(VLOOKUP(AS$12&amp;", "&amp;tblData[[#This Row],[Day 8]],tblAccommodationCosts[],5,FALSE),0)+IFERROR(VLOOKUP(AS$12&amp;", "&amp;tblData[[#This Row],[Day 9]],tblAccommodationCosts[],5,FALSE),0)+AccreditationFee*tblData[[#This Row],[Bill Accred Fee]]))+tblData[[#This Row],[Entry Fee]]</f>
        <v>#VALUE!</v>
      </c>
      <c r="AT43" s="324" t="str">
        <f>IFERROR(VLOOKUP(tblData[[#This Row],[Weight Category, Function, and Gender]],tblWeightOrFunction[],3,0),"")</f>
        <v/>
      </c>
      <c r="AU43" s="84" t="str">
        <f>IFERROR(VLOOKUP(tblData[[#This Row],[Weight Category, Function, and Gender]],tblWeightOrFunction[],4,0),"")</f>
        <v/>
      </c>
      <c r="AV43" s="85" t="str">
        <f>IFERROR(VLOOKUP(tblData[[#This Row],[Weight Category, Function, and Gender]],tblWeightOrFunction[],7,0),"")</f>
        <v/>
      </c>
      <c r="AW43" s="84" t="str">
        <f>IFERROR(VLOOKUP(tblData[[#This Row],[Weight Category, Function, and Gender]],tblWeightOrFunction[],6,0),"")</f>
        <v/>
      </c>
      <c r="AX43" s="84" t="str">
        <f>IFERROR(VLOOKUP(tblData[[#This Row],[Weight Category, Function, and Gender]],tblWeightOrFunction[],2,0),"")</f>
        <v/>
      </c>
      <c r="AY43" s="75">
        <f>tblData[[#This Row],[Arr Date]]+tblData[[#This Row],[Arr Time]]</f>
        <v>0</v>
      </c>
      <c r="AZ43" s="75">
        <f>tblData[[#This Row],[Dep Date]]+tblData[[#This Row],[Dep Time]]</f>
        <v>0</v>
      </c>
      <c r="BA43" s="72">
        <f>COUNTIF(tblData[Surname],"&lt;="&amp;tblData[Surname])</f>
        <v>0</v>
      </c>
      <c r="BB43" s="72">
        <f>COUNTIF(tblData[Given name],"&lt;="&amp;tblData[Given name])</f>
        <v>0</v>
      </c>
      <c r="BC43" s="72">
        <f>COUNTIF(tblData[Arr DateTime],"&lt;="&amp;tblData[Arr DateTime])</f>
        <v>110</v>
      </c>
      <c r="BD43" s="72">
        <f>COUNTIF(tblData[Dep DateTime],"&lt;="&amp;tblData[Dep DateTime])</f>
        <v>110</v>
      </c>
      <c r="BE43" s="72">
        <f>COUNTIF(tblData[ShuttleAtDeparture],"&lt;="&amp;tblData[ShuttleAtDeparture])</f>
        <v>0</v>
      </c>
      <c r="BI43" s="6" t="str">
        <f t="array" ref="BI43">IF(ROWS(tblData[[#Headers],[Id]]:tblData[[#This Row],[Id]])-1&gt;$BI$11,"",INDEX(tblData[Id],SMALL(IF(LEN(TRIM(tblData[Surname]))*((tblData[Type]=$BI$9)+(tblData[Type]=$BI$10)),ROW(tblData[Id])-ROW(tblData[[#Headers],[Id]])),ROWS(tblData[[#Headers],[Id]]:tblData[[#This Row],[Id]])-1)))</f>
        <v/>
      </c>
      <c r="BK43" s="6" t="str">
        <f>IF(ROWS(tblCoachesAndOfficialsSorted[[#Headers],[Id]]:tblCoachesAndOfficialsSorted[[#This Row],[Id]])-1&gt;$BK$11,"",SMALL(tblCoachesAndOfficials[Id],ROWS(tblCoachesAndOfficialsSorted[[#Headers],[Id]]:tblCoachesAndOfficialsSorted[[#This Row],[Id]])-1))</f>
        <v/>
      </c>
      <c r="BM43" s="6" t="str">
        <f t="array" ref="BM43">IF(ROWS(tblData[[#Headers],[Id]]:tblData[[#This Row],[Id]])-1&gt;$BM$11,"",INDEX(tblData[Id],SMALL(IF(LEN(TRIM(tblData[Surname]))*(tblData[Type]=$BM$9),ROW(tblData[Id])-ROW(tblData[[#Headers],[Id]])),ROWS(tblData[[#Headers],[Id]]:tblData[[#This Row],[Id]])-1)))</f>
        <v/>
      </c>
      <c r="BO43" s="6" t="str">
        <f>IF(ROWS(tblWomenSorted[[#Headers],[Id]]:tblWomenSorted[[#This Row],[Id]])-1&gt;$BO$11,"",SMALL(tblWomen[Id],ROWS(tblWomenSorted[[#Headers],[Id]]:tblWomenSorted[[#This Row],[Id]])-1))</f>
        <v/>
      </c>
      <c r="BP43" s="17"/>
      <c r="BQ43" s="6" t="str">
        <f t="array" ref="BQ43">IF(ROWS(tblData[[#Headers],[Id]]:tblData[[#This Row],[Id]])-1&gt;$BQ$11,"",INDEX(tblData[Id],SMALL(IF(LEN(TRIM(tblData[Surname]))*(tblData[Type]=$BQ$9),ROW(tblData[Id])-ROW(tblData[[#Headers],[Id]])),ROWS(tblData[[#Headers],[Id]]:tblData[[#This Row],[Id]])-1)))</f>
        <v/>
      </c>
      <c r="BS43" s="6" t="str">
        <f>IF(ROWS(tblMenSorted[[#Headers],[Id]]:tblMenSorted[[#This Row],[Id]])-1&gt;$BS$11,"",SMALL(tblMen[Id],ROWS(tblMenSorted[[#Headers],[Id]]:tblMenSorted[[#This Row],[Id]])-1))</f>
        <v/>
      </c>
      <c r="BU43" s="6" t="str">
        <f t="array" ref="BU43">IF(ROWS(tblData[[#Headers],[Sorted Name Id]]:tblData[[#This Row],[Sorted Name Id]])-1&gt;$BU$11,"",INDEX(tblData[Sorted Name Id],SMALL(IF(LEN(TRIM(tblData[Surname]))*(tblData[Visa required]="YES"),ROW(tblData[Sorted Name Id])-ROW(tblData[[#Headers],[Sorted Name Id]])),ROWS(tblData[[#Headers],[Sorted Name Id]]:tblData[[#This Row],[Sorted Name Id]])-1)))</f>
        <v/>
      </c>
      <c r="BW43" s="6" t="str">
        <f>IF(ROWS(tblVisasSorted[[#Headers],[Id]]:tblVisasSorted[[#This Row],[Id]])-1&gt;$BW$11,"",SMALL(tblVisas[Id],ROWS(tblVisasSorted[[#Headers],[Id]]:tblVisasSorted[[#This Row],[Id]])-1))</f>
        <v/>
      </c>
      <c r="BY43" s="6" t="str">
        <f t="array" ref="BY43">IF(ROWS(tblData[[#Headers],[Sorted Arr Id]]:tblData[[#This Row],[Sorted Arr Id]])-1&gt;$BY$11,"",INDEX(tblData[Sorted Arr Id],SMALL(IF(LEN(TRIM(tblData[Surname]))*(tblData[Arr DateTime]&gt;0),ROW(tblData[Sorted Arr Id])-ROW(tblData[[#Headers],[Sorted Arr Id]])),ROWS(tblData[[#Headers],[Sorted Arr Id]]:tblData[[#This Row],[Sorted Arr Id]])-1)))</f>
        <v/>
      </c>
      <c r="CA43" s="6" t="str">
        <f>IF(ROWS(tblArrivalSorted[[#Headers],[Id]]:tblArrivalSorted[[#This Row],[Id]])-1&gt;$CA$11,"",SMALL(tblArrival[Id],ROWS(tblArrivalSorted[[#Headers],[Id]]:tblArrivalSorted[[#This Row],[Id]])-1))</f>
        <v/>
      </c>
      <c r="CC43" s="6" t="str">
        <f t="array" ref="CC43">IF(ROWS(tblData[[#Headers],[Sorted Dep Id]]:tblData[[#This Row],[Sorted Dep Id]])-1&gt;$CC$11,"",INDEX(tblData[Sorted Dep Id],SMALL(IF(LEN(TRIM(tblData[Surname]))*(tblData[Dep DateTime]&gt;0),ROW(tblData[Sorted Dep Id])-ROW(tblData[[#Headers],[Sorted Dep Id]])),ROWS(tblData[[#Headers],[Sorted Dep Id]]:tblData[[#This Row],[Sorted Dep Id]])-1)))</f>
        <v/>
      </c>
      <c r="CE43" s="6" t="str">
        <f>IF(ROWS(tblDepartureSorted[[#Headers],[Id]]:tblDepartureSorted[[#This Row],[Id]])-1&gt;$CE$11,"",SMALL(tblDeparture[Id],ROWS(tblDepartureSorted[[#Headers],[Id]]:tblDepartureSorted[[#This Row],[Id]])-1))</f>
        <v/>
      </c>
      <c r="CG43" s="6" t="str">
        <f t="array" ref="CG43">IF(ROWS(tblData[[#Headers],[Id]]:tblData[[#This Row],[Id]])-1&gt;$CG$11,"",INDEX(tblData[Id],SMALL(IF(LEN(TRIM(tblData[Surname])),ROW(tblData[Id])-ROW(tblData[[#Headers],[Id]])),ROWS(tblData[[#Headers],[Id]]:tblData[[#This Row],[Id]])-1)))</f>
        <v/>
      </c>
    </row>
    <row r="44" spans="1:85" s="6" customFormat="1">
      <c r="A44" s="14">
        <f>IF(ISNUMBER(tblData[[#This Row],[SubType2]]),tblData[[#This Row],[SubType2]]*10000+tblData[[#This Row],[No]],1000000+tblData[[#This Row],[No]])</f>
        <v>1000031</v>
      </c>
      <c r="B44" s="14">
        <f>IFERROR(tblData[[#This Row],[Surname Rang]]*1000+tblData[[#This Row],[Given Name Rang]]+tblData[[#This Row],[No]]/1000,"")</f>
        <v>3.1E-2</v>
      </c>
      <c r="C44" s="14">
        <f>IFERROR(tblData[[#This Row],[Arr DateTime Rang]]+tblData[[#This Row],[No]]/1000,"")</f>
        <v>110.03100000000001</v>
      </c>
      <c r="D44" s="14">
        <f>IFERROR(tblData[[#This Row],[Dep DateTime Rang]]+tblData[[#This Row],[No]]/1000,"")</f>
        <v>110.03100000000001</v>
      </c>
      <c r="E44" s="362">
        <f t="shared" si="1"/>
        <v>31</v>
      </c>
      <c r="F44" s="370"/>
      <c r="G44" s="331"/>
      <c r="H44" s="328"/>
      <c r="I44" s="329"/>
      <c r="J44" s="330"/>
      <c r="K44" s="369"/>
      <c r="L44" s="375"/>
      <c r="M44" s="331"/>
      <c r="N44" s="331"/>
      <c r="O44" s="331"/>
      <c r="P44" s="329"/>
      <c r="Q44" s="376"/>
      <c r="R44" s="383"/>
      <c r="S44" s="332"/>
      <c r="T44" s="331"/>
      <c r="U44" s="333"/>
      <c r="V44" s="333"/>
      <c r="W44" s="384"/>
      <c r="X44" s="383"/>
      <c r="Y44" s="332"/>
      <c r="Z44" s="331"/>
      <c r="AA44" s="331"/>
      <c r="AB44" s="333"/>
      <c r="AC44" s="384"/>
      <c r="AD44" s="375"/>
      <c r="AE44" s="369"/>
      <c r="AF44" s="397"/>
      <c r="AG44" s="328"/>
      <c r="AH44" s="328"/>
      <c r="AI44" s="328"/>
      <c r="AJ44" s="328"/>
      <c r="AK44" s="328"/>
      <c r="AL44" s="328"/>
      <c r="AM44" s="328"/>
      <c r="AN44" s="398"/>
      <c r="AO44" s="402" t="str">
        <f>IF(ISBLANK(tblData[[#This Row],[Surname]]),"",IF(tblData[[#This Row],[Bill Accred Fee]]=0,"NO","YES"))</f>
        <v/>
      </c>
      <c r="AP44" s="406">
        <f>IF(AND(NOT(ISBLANK(tblData[[#This Row],[Surname]])),COUNTA(tblData[[#This Row],[Day 1]:[Day 9]])=0),1,0)</f>
        <v>0</v>
      </c>
      <c r="AQ44" s="406">
        <f>IF(AND(NOT(ISBLANK(tblData[[#This Row],[Surname]])),tblData[[#This Row],[Position]]="Athlete"),1,0)</f>
        <v>0</v>
      </c>
      <c r="AR44" s="433">
        <f>EntryFee*tblData[[#This Row],[Entry Fee Billable]]</f>
        <v>0</v>
      </c>
      <c r="AS44" s="410" t="e">
        <f>IF(ISBLANK(SelectedCategory),"No Cat!",IF(ISBLANK($F44),0,IFERROR(VLOOKUP(AS$12&amp;", "&amp;tblData[[#This Row],[Day 1]],tblAccommodationCosts[],5,FALSE),0)+IFERROR(VLOOKUP(AS$12&amp;", "&amp;tblData[[#This Row],[Day 2]],tblAccommodationCosts[],5,FALSE),0)+IFERROR(VLOOKUP(AS$12&amp;", "&amp;tblData[[#This Row],[Day 3]],tblAccommodationCosts[],5,FALSE),0)+IFERROR(VLOOKUP(AS$12&amp;", "&amp;tblData[[#This Row],[Day 4]],tblAccommodationCosts[],5,FALSE),0)+IFERROR(VLOOKUP(AS$12&amp;", "&amp;tblData[[#This Row],[Day 5]],tblAccommodationCosts[],5,FALSE),0)+IFERROR(VLOOKUP(AS$12&amp;", "&amp;tblData[[#This Row],[Day 6]],tblAccommodationCosts[],5,FALSE),0)+IFERROR(VLOOKUP(AS$12&amp;", "&amp;tblData[[#This Row],[Day 7]],tblAccommodationCosts[],5,FALSE),0)+IFERROR(VLOOKUP(AS$12&amp;", "&amp;tblData[[#This Row],[Day 8]],tblAccommodationCosts[],5,FALSE),0)+IFERROR(VLOOKUP(AS$12&amp;", "&amp;tblData[[#This Row],[Day 9]],tblAccommodationCosts[],5,FALSE),0)+AccreditationFee*tblData[[#This Row],[Bill Accred Fee]]))+tblData[[#This Row],[Entry Fee]]</f>
        <v>#VALUE!</v>
      </c>
      <c r="AT44" s="324" t="str">
        <f>IFERROR(VLOOKUP(tblData[[#This Row],[Weight Category, Function, and Gender]],tblWeightOrFunction[],3,0),"")</f>
        <v/>
      </c>
      <c r="AU44" s="84" t="str">
        <f>IFERROR(VLOOKUP(tblData[[#This Row],[Weight Category, Function, and Gender]],tblWeightOrFunction[],4,0),"")</f>
        <v/>
      </c>
      <c r="AV44" s="85" t="str">
        <f>IFERROR(VLOOKUP(tblData[[#This Row],[Weight Category, Function, and Gender]],tblWeightOrFunction[],7,0),"")</f>
        <v/>
      </c>
      <c r="AW44" s="84" t="str">
        <f>IFERROR(VLOOKUP(tblData[[#This Row],[Weight Category, Function, and Gender]],tblWeightOrFunction[],6,0),"")</f>
        <v/>
      </c>
      <c r="AX44" s="84" t="str">
        <f>IFERROR(VLOOKUP(tblData[[#This Row],[Weight Category, Function, and Gender]],tblWeightOrFunction[],2,0),"")</f>
        <v/>
      </c>
      <c r="AY44" s="75">
        <f>tblData[[#This Row],[Arr Date]]+tblData[[#This Row],[Arr Time]]</f>
        <v>0</v>
      </c>
      <c r="AZ44" s="75">
        <f>tblData[[#This Row],[Dep Date]]+tblData[[#This Row],[Dep Time]]</f>
        <v>0</v>
      </c>
      <c r="BA44" s="72">
        <f>COUNTIF(tblData[Surname],"&lt;="&amp;tblData[Surname])</f>
        <v>0</v>
      </c>
      <c r="BB44" s="72">
        <f>COUNTIF(tblData[Given name],"&lt;="&amp;tblData[Given name])</f>
        <v>0</v>
      </c>
      <c r="BC44" s="72">
        <f>COUNTIF(tblData[Arr DateTime],"&lt;="&amp;tblData[Arr DateTime])</f>
        <v>110</v>
      </c>
      <c r="BD44" s="72">
        <f>COUNTIF(tblData[Dep DateTime],"&lt;="&amp;tblData[Dep DateTime])</f>
        <v>110</v>
      </c>
      <c r="BE44" s="72">
        <f>COUNTIF(tblData[ShuttleAtDeparture],"&lt;="&amp;tblData[ShuttleAtDeparture])</f>
        <v>0</v>
      </c>
      <c r="BI44" s="6" t="str">
        <f t="array" ref="BI44">IF(ROWS(tblData[[#Headers],[Id]]:tblData[[#This Row],[Id]])-1&gt;$BI$11,"",INDEX(tblData[Id],SMALL(IF(LEN(TRIM(tblData[Surname]))*((tblData[Type]=$BI$9)+(tblData[Type]=$BI$10)),ROW(tblData[Id])-ROW(tblData[[#Headers],[Id]])),ROWS(tblData[[#Headers],[Id]]:tblData[[#This Row],[Id]])-1)))</f>
        <v/>
      </c>
      <c r="BK44" s="6" t="str">
        <f>IF(ROWS(tblCoachesAndOfficialsSorted[[#Headers],[Id]]:tblCoachesAndOfficialsSorted[[#This Row],[Id]])-1&gt;$BK$11,"",SMALL(tblCoachesAndOfficials[Id],ROWS(tblCoachesAndOfficialsSorted[[#Headers],[Id]]:tblCoachesAndOfficialsSorted[[#This Row],[Id]])-1))</f>
        <v/>
      </c>
      <c r="BM44" s="6" t="str">
        <f t="array" ref="BM44">IF(ROWS(tblData[[#Headers],[Id]]:tblData[[#This Row],[Id]])-1&gt;$BM$11,"",INDEX(tblData[Id],SMALL(IF(LEN(TRIM(tblData[Surname]))*(tblData[Type]=$BM$9),ROW(tblData[Id])-ROW(tblData[[#Headers],[Id]])),ROWS(tblData[[#Headers],[Id]]:tblData[[#This Row],[Id]])-1)))</f>
        <v/>
      </c>
      <c r="BO44" s="6" t="str">
        <f>IF(ROWS(tblWomenSorted[[#Headers],[Id]]:tblWomenSorted[[#This Row],[Id]])-1&gt;$BO$11,"",SMALL(tblWomen[Id],ROWS(tblWomenSorted[[#Headers],[Id]]:tblWomenSorted[[#This Row],[Id]])-1))</f>
        <v/>
      </c>
      <c r="BP44" s="17"/>
      <c r="BQ44" s="6" t="str">
        <f t="array" ref="BQ44">IF(ROWS(tblData[[#Headers],[Id]]:tblData[[#This Row],[Id]])-1&gt;$BQ$11,"",INDEX(tblData[Id],SMALL(IF(LEN(TRIM(tblData[Surname]))*(tblData[Type]=$BQ$9),ROW(tblData[Id])-ROW(tblData[[#Headers],[Id]])),ROWS(tblData[[#Headers],[Id]]:tblData[[#This Row],[Id]])-1)))</f>
        <v/>
      </c>
      <c r="BS44" s="6" t="str">
        <f>IF(ROWS(tblMenSorted[[#Headers],[Id]]:tblMenSorted[[#This Row],[Id]])-1&gt;$BS$11,"",SMALL(tblMen[Id],ROWS(tblMenSorted[[#Headers],[Id]]:tblMenSorted[[#This Row],[Id]])-1))</f>
        <v/>
      </c>
      <c r="BU44" s="6" t="str">
        <f t="array" ref="BU44">IF(ROWS(tblData[[#Headers],[Sorted Name Id]]:tblData[[#This Row],[Sorted Name Id]])-1&gt;$BU$11,"",INDEX(tblData[Sorted Name Id],SMALL(IF(LEN(TRIM(tblData[Surname]))*(tblData[Visa required]="YES"),ROW(tblData[Sorted Name Id])-ROW(tblData[[#Headers],[Sorted Name Id]])),ROWS(tblData[[#Headers],[Sorted Name Id]]:tblData[[#This Row],[Sorted Name Id]])-1)))</f>
        <v/>
      </c>
      <c r="BW44" s="6" t="str">
        <f>IF(ROWS(tblVisasSorted[[#Headers],[Id]]:tblVisasSorted[[#This Row],[Id]])-1&gt;$BW$11,"",SMALL(tblVisas[Id],ROWS(tblVisasSorted[[#Headers],[Id]]:tblVisasSorted[[#This Row],[Id]])-1))</f>
        <v/>
      </c>
      <c r="BY44" s="6" t="str">
        <f t="array" ref="BY44">IF(ROWS(tblData[[#Headers],[Sorted Arr Id]]:tblData[[#This Row],[Sorted Arr Id]])-1&gt;$BY$11,"",INDEX(tblData[Sorted Arr Id],SMALL(IF(LEN(TRIM(tblData[Surname]))*(tblData[Arr DateTime]&gt;0),ROW(tblData[Sorted Arr Id])-ROW(tblData[[#Headers],[Sorted Arr Id]])),ROWS(tblData[[#Headers],[Sorted Arr Id]]:tblData[[#This Row],[Sorted Arr Id]])-1)))</f>
        <v/>
      </c>
      <c r="CA44" s="6" t="str">
        <f>IF(ROWS(tblArrivalSorted[[#Headers],[Id]]:tblArrivalSorted[[#This Row],[Id]])-1&gt;$CA$11,"",SMALL(tblArrival[Id],ROWS(tblArrivalSorted[[#Headers],[Id]]:tblArrivalSorted[[#This Row],[Id]])-1))</f>
        <v/>
      </c>
      <c r="CC44" s="6" t="str">
        <f t="array" ref="CC44">IF(ROWS(tblData[[#Headers],[Sorted Dep Id]]:tblData[[#This Row],[Sorted Dep Id]])-1&gt;$CC$11,"",INDEX(tblData[Sorted Dep Id],SMALL(IF(LEN(TRIM(tblData[Surname]))*(tblData[Dep DateTime]&gt;0),ROW(tblData[Sorted Dep Id])-ROW(tblData[[#Headers],[Sorted Dep Id]])),ROWS(tblData[[#Headers],[Sorted Dep Id]]:tblData[[#This Row],[Sorted Dep Id]])-1)))</f>
        <v/>
      </c>
      <c r="CE44" s="6" t="str">
        <f>IF(ROWS(tblDepartureSorted[[#Headers],[Id]]:tblDepartureSorted[[#This Row],[Id]])-1&gt;$CE$11,"",SMALL(tblDeparture[Id],ROWS(tblDepartureSorted[[#Headers],[Id]]:tblDepartureSorted[[#This Row],[Id]])-1))</f>
        <v/>
      </c>
      <c r="CG44" s="6" t="str">
        <f t="array" ref="CG44">IF(ROWS(tblData[[#Headers],[Id]]:tblData[[#This Row],[Id]])-1&gt;$CG$11,"",INDEX(tblData[Id],SMALL(IF(LEN(TRIM(tblData[Surname])),ROW(tblData[Id])-ROW(tblData[[#Headers],[Id]])),ROWS(tblData[[#Headers],[Id]]:tblData[[#This Row],[Id]])-1)))</f>
        <v/>
      </c>
    </row>
    <row r="45" spans="1:85" s="6" customFormat="1">
      <c r="A45" s="14">
        <f>IF(ISNUMBER(tblData[[#This Row],[SubType2]]),tblData[[#This Row],[SubType2]]*10000+tblData[[#This Row],[No]],1000000+tblData[[#This Row],[No]])</f>
        <v>1000032</v>
      </c>
      <c r="B45" s="14">
        <f>IFERROR(tblData[[#This Row],[Surname Rang]]*1000+tblData[[#This Row],[Given Name Rang]]+tblData[[#This Row],[No]]/1000,"")</f>
        <v>3.2000000000000001E-2</v>
      </c>
      <c r="C45" s="14">
        <f>IFERROR(tblData[[#This Row],[Arr DateTime Rang]]+tblData[[#This Row],[No]]/1000,"")</f>
        <v>110.032</v>
      </c>
      <c r="D45" s="14">
        <f>IFERROR(tblData[[#This Row],[Dep DateTime Rang]]+tblData[[#This Row],[No]]/1000,"")</f>
        <v>110.032</v>
      </c>
      <c r="E45" s="362">
        <f t="shared" si="1"/>
        <v>32</v>
      </c>
      <c r="F45" s="370"/>
      <c r="G45" s="331"/>
      <c r="H45" s="328"/>
      <c r="I45" s="329"/>
      <c r="J45" s="330"/>
      <c r="K45" s="369"/>
      <c r="L45" s="375"/>
      <c r="M45" s="331"/>
      <c r="N45" s="331"/>
      <c r="O45" s="331"/>
      <c r="P45" s="329"/>
      <c r="Q45" s="376"/>
      <c r="R45" s="383"/>
      <c r="S45" s="332"/>
      <c r="T45" s="331"/>
      <c r="U45" s="333"/>
      <c r="V45" s="333"/>
      <c r="W45" s="384"/>
      <c r="X45" s="383"/>
      <c r="Y45" s="332"/>
      <c r="Z45" s="331"/>
      <c r="AA45" s="331"/>
      <c r="AB45" s="333"/>
      <c r="AC45" s="384"/>
      <c r="AD45" s="375"/>
      <c r="AE45" s="369"/>
      <c r="AF45" s="397"/>
      <c r="AG45" s="328"/>
      <c r="AH45" s="328"/>
      <c r="AI45" s="328"/>
      <c r="AJ45" s="328"/>
      <c r="AK45" s="328"/>
      <c r="AL45" s="328"/>
      <c r="AM45" s="328"/>
      <c r="AN45" s="398"/>
      <c r="AO45" s="402" t="str">
        <f>IF(ISBLANK(tblData[[#This Row],[Surname]]),"",IF(tblData[[#This Row],[Bill Accred Fee]]=0,"NO","YES"))</f>
        <v/>
      </c>
      <c r="AP45" s="406">
        <f>IF(AND(NOT(ISBLANK(tblData[[#This Row],[Surname]])),COUNTA(tblData[[#This Row],[Day 1]:[Day 9]])=0),1,0)</f>
        <v>0</v>
      </c>
      <c r="AQ45" s="406">
        <f>IF(AND(NOT(ISBLANK(tblData[[#This Row],[Surname]])),tblData[[#This Row],[Position]]="Athlete"),1,0)</f>
        <v>0</v>
      </c>
      <c r="AR45" s="433">
        <f>EntryFee*tblData[[#This Row],[Entry Fee Billable]]</f>
        <v>0</v>
      </c>
      <c r="AS45" s="410" t="e">
        <f>IF(ISBLANK(SelectedCategory),"No Cat!",IF(ISBLANK($F45),0,IFERROR(VLOOKUP(AS$12&amp;", "&amp;tblData[[#This Row],[Day 1]],tblAccommodationCosts[],5,FALSE),0)+IFERROR(VLOOKUP(AS$12&amp;", "&amp;tblData[[#This Row],[Day 2]],tblAccommodationCosts[],5,FALSE),0)+IFERROR(VLOOKUP(AS$12&amp;", "&amp;tblData[[#This Row],[Day 3]],tblAccommodationCosts[],5,FALSE),0)+IFERROR(VLOOKUP(AS$12&amp;", "&amp;tblData[[#This Row],[Day 4]],tblAccommodationCosts[],5,FALSE),0)+IFERROR(VLOOKUP(AS$12&amp;", "&amp;tblData[[#This Row],[Day 5]],tblAccommodationCosts[],5,FALSE),0)+IFERROR(VLOOKUP(AS$12&amp;", "&amp;tblData[[#This Row],[Day 6]],tblAccommodationCosts[],5,FALSE),0)+IFERROR(VLOOKUP(AS$12&amp;", "&amp;tblData[[#This Row],[Day 7]],tblAccommodationCosts[],5,FALSE),0)+IFERROR(VLOOKUP(AS$12&amp;", "&amp;tblData[[#This Row],[Day 8]],tblAccommodationCosts[],5,FALSE),0)+IFERROR(VLOOKUP(AS$12&amp;", "&amp;tblData[[#This Row],[Day 9]],tblAccommodationCosts[],5,FALSE),0)+AccreditationFee*tblData[[#This Row],[Bill Accred Fee]]))+tblData[[#This Row],[Entry Fee]]</f>
        <v>#VALUE!</v>
      </c>
      <c r="AT45" s="324" t="str">
        <f>IFERROR(VLOOKUP(tblData[[#This Row],[Weight Category, Function, and Gender]],tblWeightOrFunction[],3,0),"")</f>
        <v/>
      </c>
      <c r="AU45" s="84" t="str">
        <f>IFERROR(VLOOKUP(tblData[[#This Row],[Weight Category, Function, and Gender]],tblWeightOrFunction[],4,0),"")</f>
        <v/>
      </c>
      <c r="AV45" s="85" t="str">
        <f>IFERROR(VLOOKUP(tblData[[#This Row],[Weight Category, Function, and Gender]],tblWeightOrFunction[],7,0),"")</f>
        <v/>
      </c>
      <c r="AW45" s="84" t="str">
        <f>IFERROR(VLOOKUP(tblData[[#This Row],[Weight Category, Function, and Gender]],tblWeightOrFunction[],6,0),"")</f>
        <v/>
      </c>
      <c r="AX45" s="84" t="str">
        <f>IFERROR(VLOOKUP(tblData[[#This Row],[Weight Category, Function, and Gender]],tblWeightOrFunction[],2,0),"")</f>
        <v/>
      </c>
      <c r="AY45" s="75">
        <f>tblData[[#This Row],[Arr Date]]+tblData[[#This Row],[Arr Time]]</f>
        <v>0</v>
      </c>
      <c r="AZ45" s="75">
        <f>tblData[[#This Row],[Dep Date]]+tblData[[#This Row],[Dep Time]]</f>
        <v>0</v>
      </c>
      <c r="BA45" s="72">
        <f>COUNTIF(tblData[Surname],"&lt;="&amp;tblData[Surname])</f>
        <v>0</v>
      </c>
      <c r="BB45" s="72">
        <f>COUNTIF(tblData[Given name],"&lt;="&amp;tblData[Given name])</f>
        <v>0</v>
      </c>
      <c r="BC45" s="72">
        <f>COUNTIF(tblData[Arr DateTime],"&lt;="&amp;tblData[Arr DateTime])</f>
        <v>110</v>
      </c>
      <c r="BD45" s="72">
        <f>COUNTIF(tblData[Dep DateTime],"&lt;="&amp;tblData[Dep DateTime])</f>
        <v>110</v>
      </c>
      <c r="BE45" s="72">
        <f>COUNTIF(tblData[ShuttleAtDeparture],"&lt;="&amp;tblData[ShuttleAtDeparture])</f>
        <v>0</v>
      </c>
      <c r="BI45" s="6" t="str">
        <f t="array" ref="BI45">IF(ROWS(tblData[[#Headers],[Id]]:tblData[[#This Row],[Id]])-1&gt;$BI$11,"",INDEX(tblData[Id],SMALL(IF(LEN(TRIM(tblData[Surname]))*((tblData[Type]=$BI$9)+(tblData[Type]=$BI$10)),ROW(tblData[Id])-ROW(tblData[[#Headers],[Id]])),ROWS(tblData[[#Headers],[Id]]:tblData[[#This Row],[Id]])-1)))</f>
        <v/>
      </c>
      <c r="BK45" s="6" t="str">
        <f>IF(ROWS(tblCoachesAndOfficialsSorted[[#Headers],[Id]]:tblCoachesAndOfficialsSorted[[#This Row],[Id]])-1&gt;$BK$11,"",SMALL(tblCoachesAndOfficials[Id],ROWS(tblCoachesAndOfficialsSorted[[#Headers],[Id]]:tblCoachesAndOfficialsSorted[[#This Row],[Id]])-1))</f>
        <v/>
      </c>
      <c r="BM45" s="6" t="str">
        <f t="array" ref="BM45">IF(ROWS(tblData[[#Headers],[Id]]:tblData[[#This Row],[Id]])-1&gt;$BM$11,"",INDEX(tblData[Id],SMALL(IF(LEN(TRIM(tblData[Surname]))*(tblData[Type]=$BM$9),ROW(tblData[Id])-ROW(tblData[[#Headers],[Id]])),ROWS(tblData[[#Headers],[Id]]:tblData[[#This Row],[Id]])-1)))</f>
        <v/>
      </c>
      <c r="BO45" s="6" t="str">
        <f>IF(ROWS(tblWomenSorted[[#Headers],[Id]]:tblWomenSorted[[#This Row],[Id]])-1&gt;$BO$11,"",SMALL(tblWomen[Id],ROWS(tblWomenSorted[[#Headers],[Id]]:tblWomenSorted[[#This Row],[Id]])-1))</f>
        <v/>
      </c>
      <c r="BP45" s="17"/>
      <c r="BQ45" s="6" t="str">
        <f t="array" ref="BQ45">IF(ROWS(tblData[[#Headers],[Id]]:tblData[[#This Row],[Id]])-1&gt;$BQ$11,"",INDEX(tblData[Id],SMALL(IF(LEN(TRIM(tblData[Surname]))*(tblData[Type]=$BQ$9),ROW(tblData[Id])-ROW(tblData[[#Headers],[Id]])),ROWS(tblData[[#Headers],[Id]]:tblData[[#This Row],[Id]])-1)))</f>
        <v/>
      </c>
      <c r="BS45" s="6" t="str">
        <f>IF(ROWS(tblMenSorted[[#Headers],[Id]]:tblMenSorted[[#This Row],[Id]])-1&gt;$BS$11,"",SMALL(tblMen[Id],ROWS(tblMenSorted[[#Headers],[Id]]:tblMenSorted[[#This Row],[Id]])-1))</f>
        <v/>
      </c>
      <c r="BU45" s="6" t="str">
        <f t="array" ref="BU45">IF(ROWS(tblData[[#Headers],[Sorted Name Id]]:tblData[[#This Row],[Sorted Name Id]])-1&gt;$BU$11,"",INDEX(tblData[Sorted Name Id],SMALL(IF(LEN(TRIM(tblData[Surname]))*(tblData[Visa required]="YES"),ROW(tblData[Sorted Name Id])-ROW(tblData[[#Headers],[Sorted Name Id]])),ROWS(tblData[[#Headers],[Sorted Name Id]]:tblData[[#This Row],[Sorted Name Id]])-1)))</f>
        <v/>
      </c>
      <c r="BW45" s="6" t="str">
        <f>IF(ROWS(tblVisasSorted[[#Headers],[Id]]:tblVisasSorted[[#This Row],[Id]])-1&gt;$BW$11,"",SMALL(tblVisas[Id],ROWS(tblVisasSorted[[#Headers],[Id]]:tblVisasSorted[[#This Row],[Id]])-1))</f>
        <v/>
      </c>
      <c r="BY45" s="6" t="str">
        <f t="array" ref="BY45">IF(ROWS(tblData[[#Headers],[Sorted Arr Id]]:tblData[[#This Row],[Sorted Arr Id]])-1&gt;$BY$11,"",INDEX(tblData[Sorted Arr Id],SMALL(IF(LEN(TRIM(tblData[Surname]))*(tblData[Arr DateTime]&gt;0),ROW(tblData[Sorted Arr Id])-ROW(tblData[[#Headers],[Sorted Arr Id]])),ROWS(tblData[[#Headers],[Sorted Arr Id]]:tblData[[#This Row],[Sorted Arr Id]])-1)))</f>
        <v/>
      </c>
      <c r="CA45" s="6" t="str">
        <f>IF(ROWS(tblArrivalSorted[[#Headers],[Id]]:tblArrivalSorted[[#This Row],[Id]])-1&gt;$CA$11,"",SMALL(tblArrival[Id],ROWS(tblArrivalSorted[[#Headers],[Id]]:tblArrivalSorted[[#This Row],[Id]])-1))</f>
        <v/>
      </c>
      <c r="CC45" s="6" t="str">
        <f t="array" ref="CC45">IF(ROWS(tblData[[#Headers],[Sorted Dep Id]]:tblData[[#This Row],[Sorted Dep Id]])-1&gt;$CC$11,"",INDEX(tblData[Sorted Dep Id],SMALL(IF(LEN(TRIM(tblData[Surname]))*(tblData[Dep DateTime]&gt;0),ROW(tblData[Sorted Dep Id])-ROW(tblData[[#Headers],[Sorted Dep Id]])),ROWS(tblData[[#Headers],[Sorted Dep Id]]:tblData[[#This Row],[Sorted Dep Id]])-1)))</f>
        <v/>
      </c>
      <c r="CE45" s="6" t="str">
        <f>IF(ROWS(tblDepartureSorted[[#Headers],[Id]]:tblDepartureSorted[[#This Row],[Id]])-1&gt;$CE$11,"",SMALL(tblDeparture[Id],ROWS(tblDepartureSorted[[#Headers],[Id]]:tblDepartureSorted[[#This Row],[Id]])-1))</f>
        <v/>
      </c>
      <c r="CG45" s="6" t="str">
        <f t="array" ref="CG45">IF(ROWS(tblData[[#Headers],[Id]]:tblData[[#This Row],[Id]])-1&gt;$CG$11,"",INDEX(tblData[Id],SMALL(IF(LEN(TRIM(tblData[Surname])),ROW(tblData[Id])-ROW(tblData[[#Headers],[Id]])),ROWS(tblData[[#Headers],[Id]]:tblData[[#This Row],[Id]])-1)))</f>
        <v/>
      </c>
    </row>
    <row r="46" spans="1:85" s="6" customFormat="1">
      <c r="A46" s="14">
        <f>IF(ISNUMBER(tblData[[#This Row],[SubType2]]),tblData[[#This Row],[SubType2]]*10000+tblData[[#This Row],[No]],1000000+tblData[[#This Row],[No]])</f>
        <v>1000033</v>
      </c>
      <c r="B46" s="14">
        <f>IFERROR(tblData[[#This Row],[Surname Rang]]*1000+tblData[[#This Row],[Given Name Rang]]+tblData[[#This Row],[No]]/1000,"")</f>
        <v>3.3000000000000002E-2</v>
      </c>
      <c r="C46" s="14">
        <f>IFERROR(tblData[[#This Row],[Arr DateTime Rang]]+tblData[[#This Row],[No]]/1000,"")</f>
        <v>110.033</v>
      </c>
      <c r="D46" s="14">
        <f>IFERROR(tblData[[#This Row],[Dep DateTime Rang]]+tblData[[#This Row],[No]]/1000,"")</f>
        <v>110.033</v>
      </c>
      <c r="E46" s="362">
        <f t="shared" si="1"/>
        <v>33</v>
      </c>
      <c r="F46" s="370"/>
      <c r="G46" s="331"/>
      <c r="H46" s="328"/>
      <c r="I46" s="329"/>
      <c r="J46" s="330"/>
      <c r="K46" s="369"/>
      <c r="L46" s="375"/>
      <c r="M46" s="331"/>
      <c r="N46" s="331"/>
      <c r="O46" s="331"/>
      <c r="P46" s="329"/>
      <c r="Q46" s="376"/>
      <c r="R46" s="383"/>
      <c r="S46" s="332"/>
      <c r="T46" s="331"/>
      <c r="U46" s="333"/>
      <c r="V46" s="333"/>
      <c r="W46" s="384"/>
      <c r="X46" s="383"/>
      <c r="Y46" s="332"/>
      <c r="Z46" s="331"/>
      <c r="AA46" s="331"/>
      <c r="AB46" s="333"/>
      <c r="AC46" s="384"/>
      <c r="AD46" s="375"/>
      <c r="AE46" s="369"/>
      <c r="AF46" s="397"/>
      <c r="AG46" s="328"/>
      <c r="AH46" s="328"/>
      <c r="AI46" s="328"/>
      <c r="AJ46" s="328"/>
      <c r="AK46" s="328"/>
      <c r="AL46" s="328"/>
      <c r="AM46" s="328"/>
      <c r="AN46" s="398"/>
      <c r="AO46" s="402" t="str">
        <f>IF(ISBLANK(tblData[[#This Row],[Surname]]),"",IF(tblData[[#This Row],[Bill Accred Fee]]=0,"NO","YES"))</f>
        <v/>
      </c>
      <c r="AP46" s="406">
        <f>IF(AND(NOT(ISBLANK(tblData[[#This Row],[Surname]])),COUNTA(tblData[[#This Row],[Day 1]:[Day 9]])=0),1,0)</f>
        <v>0</v>
      </c>
      <c r="AQ46" s="406">
        <f>IF(AND(NOT(ISBLANK(tblData[[#This Row],[Surname]])),tblData[[#This Row],[Position]]="Athlete"),1,0)</f>
        <v>0</v>
      </c>
      <c r="AR46" s="433">
        <f>EntryFee*tblData[[#This Row],[Entry Fee Billable]]</f>
        <v>0</v>
      </c>
      <c r="AS46" s="410" t="e">
        <f>IF(ISBLANK(SelectedCategory),"No Cat!",IF(ISBLANK($F46),0,IFERROR(VLOOKUP(AS$12&amp;", "&amp;tblData[[#This Row],[Day 1]],tblAccommodationCosts[],5,FALSE),0)+IFERROR(VLOOKUP(AS$12&amp;", "&amp;tblData[[#This Row],[Day 2]],tblAccommodationCosts[],5,FALSE),0)+IFERROR(VLOOKUP(AS$12&amp;", "&amp;tblData[[#This Row],[Day 3]],tblAccommodationCosts[],5,FALSE),0)+IFERROR(VLOOKUP(AS$12&amp;", "&amp;tblData[[#This Row],[Day 4]],tblAccommodationCosts[],5,FALSE),0)+IFERROR(VLOOKUP(AS$12&amp;", "&amp;tblData[[#This Row],[Day 5]],tblAccommodationCosts[],5,FALSE),0)+IFERROR(VLOOKUP(AS$12&amp;", "&amp;tblData[[#This Row],[Day 6]],tblAccommodationCosts[],5,FALSE),0)+IFERROR(VLOOKUP(AS$12&amp;", "&amp;tblData[[#This Row],[Day 7]],tblAccommodationCosts[],5,FALSE),0)+IFERROR(VLOOKUP(AS$12&amp;", "&amp;tblData[[#This Row],[Day 8]],tblAccommodationCosts[],5,FALSE),0)+IFERROR(VLOOKUP(AS$12&amp;", "&amp;tblData[[#This Row],[Day 9]],tblAccommodationCosts[],5,FALSE),0)+AccreditationFee*tblData[[#This Row],[Bill Accred Fee]]))+tblData[[#This Row],[Entry Fee]]</f>
        <v>#VALUE!</v>
      </c>
      <c r="AT46" s="324" t="str">
        <f>IFERROR(VLOOKUP(tblData[[#This Row],[Weight Category, Function, and Gender]],tblWeightOrFunction[],3,0),"")</f>
        <v/>
      </c>
      <c r="AU46" s="84" t="str">
        <f>IFERROR(VLOOKUP(tblData[[#This Row],[Weight Category, Function, and Gender]],tblWeightOrFunction[],4,0),"")</f>
        <v/>
      </c>
      <c r="AV46" s="85" t="str">
        <f>IFERROR(VLOOKUP(tblData[[#This Row],[Weight Category, Function, and Gender]],tblWeightOrFunction[],7,0),"")</f>
        <v/>
      </c>
      <c r="AW46" s="84" t="str">
        <f>IFERROR(VLOOKUP(tblData[[#This Row],[Weight Category, Function, and Gender]],tblWeightOrFunction[],6,0),"")</f>
        <v/>
      </c>
      <c r="AX46" s="84" t="str">
        <f>IFERROR(VLOOKUP(tblData[[#This Row],[Weight Category, Function, and Gender]],tblWeightOrFunction[],2,0),"")</f>
        <v/>
      </c>
      <c r="AY46" s="75">
        <f>tblData[[#This Row],[Arr Date]]+tblData[[#This Row],[Arr Time]]</f>
        <v>0</v>
      </c>
      <c r="AZ46" s="75">
        <f>tblData[[#This Row],[Dep Date]]+tblData[[#This Row],[Dep Time]]</f>
        <v>0</v>
      </c>
      <c r="BA46" s="72">
        <f>COUNTIF(tblData[Surname],"&lt;="&amp;tblData[Surname])</f>
        <v>0</v>
      </c>
      <c r="BB46" s="72">
        <f>COUNTIF(tblData[Given name],"&lt;="&amp;tblData[Given name])</f>
        <v>0</v>
      </c>
      <c r="BC46" s="72">
        <f>COUNTIF(tblData[Arr DateTime],"&lt;="&amp;tblData[Arr DateTime])</f>
        <v>110</v>
      </c>
      <c r="BD46" s="72">
        <f>COUNTIF(tblData[Dep DateTime],"&lt;="&amp;tblData[Dep DateTime])</f>
        <v>110</v>
      </c>
      <c r="BE46" s="72">
        <f>COUNTIF(tblData[ShuttleAtDeparture],"&lt;="&amp;tblData[ShuttleAtDeparture])</f>
        <v>0</v>
      </c>
      <c r="BI46" s="6" t="str">
        <f t="array" ref="BI46">IF(ROWS(tblData[[#Headers],[Id]]:tblData[[#This Row],[Id]])-1&gt;$BI$11,"",INDEX(tblData[Id],SMALL(IF(LEN(TRIM(tblData[Surname]))*((tblData[Type]=$BI$9)+(tblData[Type]=$BI$10)),ROW(tblData[Id])-ROW(tblData[[#Headers],[Id]])),ROWS(tblData[[#Headers],[Id]]:tblData[[#This Row],[Id]])-1)))</f>
        <v/>
      </c>
      <c r="BK46" s="6" t="str">
        <f>IF(ROWS(tblCoachesAndOfficialsSorted[[#Headers],[Id]]:tblCoachesAndOfficialsSorted[[#This Row],[Id]])-1&gt;$BK$11,"",SMALL(tblCoachesAndOfficials[Id],ROWS(tblCoachesAndOfficialsSorted[[#Headers],[Id]]:tblCoachesAndOfficialsSorted[[#This Row],[Id]])-1))</f>
        <v/>
      </c>
      <c r="BM46" s="6" t="str">
        <f t="array" ref="BM46">IF(ROWS(tblData[[#Headers],[Id]]:tblData[[#This Row],[Id]])-1&gt;$BM$11,"",INDEX(tblData[Id],SMALL(IF(LEN(TRIM(tblData[Surname]))*(tblData[Type]=$BM$9),ROW(tblData[Id])-ROW(tblData[[#Headers],[Id]])),ROWS(tblData[[#Headers],[Id]]:tblData[[#This Row],[Id]])-1)))</f>
        <v/>
      </c>
      <c r="BO46" s="6" t="str">
        <f>IF(ROWS(tblWomenSorted[[#Headers],[Id]]:tblWomenSorted[[#This Row],[Id]])-1&gt;$BO$11,"",SMALL(tblWomen[Id],ROWS(tblWomenSorted[[#Headers],[Id]]:tblWomenSorted[[#This Row],[Id]])-1))</f>
        <v/>
      </c>
      <c r="BP46" s="17"/>
      <c r="BQ46" s="6" t="str">
        <f t="array" ref="BQ46">IF(ROWS(tblData[[#Headers],[Id]]:tblData[[#This Row],[Id]])-1&gt;$BQ$11,"",INDEX(tblData[Id],SMALL(IF(LEN(TRIM(tblData[Surname]))*(tblData[Type]=$BQ$9),ROW(tblData[Id])-ROW(tblData[[#Headers],[Id]])),ROWS(tblData[[#Headers],[Id]]:tblData[[#This Row],[Id]])-1)))</f>
        <v/>
      </c>
      <c r="BS46" s="6" t="str">
        <f>IF(ROWS(tblMenSorted[[#Headers],[Id]]:tblMenSorted[[#This Row],[Id]])-1&gt;$BS$11,"",SMALL(tblMen[Id],ROWS(tblMenSorted[[#Headers],[Id]]:tblMenSorted[[#This Row],[Id]])-1))</f>
        <v/>
      </c>
      <c r="BU46" s="6" t="str">
        <f t="array" ref="BU46">IF(ROWS(tblData[[#Headers],[Sorted Name Id]]:tblData[[#This Row],[Sorted Name Id]])-1&gt;$BU$11,"",INDEX(tblData[Sorted Name Id],SMALL(IF(LEN(TRIM(tblData[Surname]))*(tblData[Visa required]="YES"),ROW(tblData[Sorted Name Id])-ROW(tblData[[#Headers],[Sorted Name Id]])),ROWS(tblData[[#Headers],[Sorted Name Id]]:tblData[[#This Row],[Sorted Name Id]])-1)))</f>
        <v/>
      </c>
      <c r="BW46" s="6" t="str">
        <f>IF(ROWS(tblVisasSorted[[#Headers],[Id]]:tblVisasSorted[[#This Row],[Id]])-1&gt;$BW$11,"",SMALL(tblVisas[Id],ROWS(tblVisasSorted[[#Headers],[Id]]:tblVisasSorted[[#This Row],[Id]])-1))</f>
        <v/>
      </c>
      <c r="BY46" s="6" t="str">
        <f t="array" ref="BY46">IF(ROWS(tblData[[#Headers],[Sorted Arr Id]]:tblData[[#This Row],[Sorted Arr Id]])-1&gt;$BY$11,"",INDEX(tblData[Sorted Arr Id],SMALL(IF(LEN(TRIM(tblData[Surname]))*(tblData[Arr DateTime]&gt;0),ROW(tblData[Sorted Arr Id])-ROW(tblData[[#Headers],[Sorted Arr Id]])),ROWS(tblData[[#Headers],[Sorted Arr Id]]:tblData[[#This Row],[Sorted Arr Id]])-1)))</f>
        <v/>
      </c>
      <c r="CA46" s="6" t="str">
        <f>IF(ROWS(tblArrivalSorted[[#Headers],[Id]]:tblArrivalSorted[[#This Row],[Id]])-1&gt;$CA$11,"",SMALL(tblArrival[Id],ROWS(tblArrivalSorted[[#Headers],[Id]]:tblArrivalSorted[[#This Row],[Id]])-1))</f>
        <v/>
      </c>
      <c r="CC46" s="6" t="str">
        <f t="array" ref="CC46">IF(ROWS(tblData[[#Headers],[Sorted Dep Id]]:tblData[[#This Row],[Sorted Dep Id]])-1&gt;$CC$11,"",INDEX(tblData[Sorted Dep Id],SMALL(IF(LEN(TRIM(tblData[Surname]))*(tblData[Dep DateTime]&gt;0),ROW(tblData[Sorted Dep Id])-ROW(tblData[[#Headers],[Sorted Dep Id]])),ROWS(tblData[[#Headers],[Sorted Dep Id]]:tblData[[#This Row],[Sorted Dep Id]])-1)))</f>
        <v/>
      </c>
      <c r="CE46" s="6" t="str">
        <f>IF(ROWS(tblDepartureSorted[[#Headers],[Id]]:tblDepartureSorted[[#This Row],[Id]])-1&gt;$CE$11,"",SMALL(tblDeparture[Id],ROWS(tblDepartureSorted[[#Headers],[Id]]:tblDepartureSorted[[#This Row],[Id]])-1))</f>
        <v/>
      </c>
      <c r="CG46" s="6" t="str">
        <f t="array" ref="CG46">IF(ROWS(tblData[[#Headers],[Id]]:tblData[[#This Row],[Id]])-1&gt;$CG$11,"",INDEX(tblData[Id],SMALL(IF(LEN(TRIM(tblData[Surname])),ROW(tblData[Id])-ROW(tblData[[#Headers],[Id]])),ROWS(tblData[[#Headers],[Id]]:tblData[[#This Row],[Id]])-1)))</f>
        <v/>
      </c>
    </row>
    <row r="47" spans="1:85" s="6" customFormat="1">
      <c r="A47" s="14">
        <f>IF(ISNUMBER(tblData[[#This Row],[SubType2]]),tblData[[#This Row],[SubType2]]*10000+tblData[[#This Row],[No]],1000000+tblData[[#This Row],[No]])</f>
        <v>1000034</v>
      </c>
      <c r="B47" s="14">
        <f>IFERROR(tblData[[#This Row],[Surname Rang]]*1000+tblData[[#This Row],[Given Name Rang]]+tblData[[#This Row],[No]]/1000,"")</f>
        <v>3.4000000000000002E-2</v>
      </c>
      <c r="C47" s="14">
        <f>IFERROR(tblData[[#This Row],[Arr DateTime Rang]]+tblData[[#This Row],[No]]/1000,"")</f>
        <v>110.03400000000001</v>
      </c>
      <c r="D47" s="14">
        <f>IFERROR(tblData[[#This Row],[Dep DateTime Rang]]+tblData[[#This Row],[No]]/1000,"")</f>
        <v>110.03400000000001</v>
      </c>
      <c r="E47" s="362">
        <f t="shared" si="1"/>
        <v>34</v>
      </c>
      <c r="F47" s="370"/>
      <c r="G47" s="331"/>
      <c r="H47" s="328"/>
      <c r="I47" s="329"/>
      <c r="J47" s="330"/>
      <c r="K47" s="369"/>
      <c r="L47" s="375"/>
      <c r="M47" s="331"/>
      <c r="N47" s="331"/>
      <c r="O47" s="331"/>
      <c r="P47" s="329"/>
      <c r="Q47" s="376"/>
      <c r="R47" s="383"/>
      <c r="S47" s="332"/>
      <c r="T47" s="331"/>
      <c r="U47" s="333"/>
      <c r="V47" s="333"/>
      <c r="W47" s="384"/>
      <c r="X47" s="383"/>
      <c r="Y47" s="332"/>
      <c r="Z47" s="331"/>
      <c r="AA47" s="331"/>
      <c r="AB47" s="333"/>
      <c r="AC47" s="384"/>
      <c r="AD47" s="375"/>
      <c r="AE47" s="369"/>
      <c r="AF47" s="397"/>
      <c r="AG47" s="328"/>
      <c r="AH47" s="328"/>
      <c r="AI47" s="328"/>
      <c r="AJ47" s="328"/>
      <c r="AK47" s="328"/>
      <c r="AL47" s="328"/>
      <c r="AM47" s="328"/>
      <c r="AN47" s="398"/>
      <c r="AO47" s="402" t="str">
        <f>IF(ISBLANK(tblData[[#This Row],[Surname]]),"",IF(tblData[[#This Row],[Bill Accred Fee]]=0,"NO","YES"))</f>
        <v/>
      </c>
      <c r="AP47" s="406">
        <f>IF(AND(NOT(ISBLANK(tblData[[#This Row],[Surname]])),COUNTA(tblData[[#This Row],[Day 1]:[Day 9]])=0),1,0)</f>
        <v>0</v>
      </c>
      <c r="AQ47" s="406">
        <f>IF(AND(NOT(ISBLANK(tblData[[#This Row],[Surname]])),tblData[[#This Row],[Position]]="Athlete"),1,0)</f>
        <v>0</v>
      </c>
      <c r="AR47" s="433">
        <f>EntryFee*tblData[[#This Row],[Entry Fee Billable]]</f>
        <v>0</v>
      </c>
      <c r="AS47" s="410" t="e">
        <f>IF(ISBLANK(SelectedCategory),"No Cat!",IF(ISBLANK($F47),0,IFERROR(VLOOKUP(AS$12&amp;", "&amp;tblData[[#This Row],[Day 1]],tblAccommodationCosts[],5,FALSE),0)+IFERROR(VLOOKUP(AS$12&amp;", "&amp;tblData[[#This Row],[Day 2]],tblAccommodationCosts[],5,FALSE),0)+IFERROR(VLOOKUP(AS$12&amp;", "&amp;tblData[[#This Row],[Day 3]],tblAccommodationCosts[],5,FALSE),0)+IFERROR(VLOOKUP(AS$12&amp;", "&amp;tblData[[#This Row],[Day 4]],tblAccommodationCosts[],5,FALSE),0)+IFERROR(VLOOKUP(AS$12&amp;", "&amp;tblData[[#This Row],[Day 5]],tblAccommodationCosts[],5,FALSE),0)+IFERROR(VLOOKUP(AS$12&amp;", "&amp;tblData[[#This Row],[Day 6]],tblAccommodationCosts[],5,FALSE),0)+IFERROR(VLOOKUP(AS$12&amp;", "&amp;tblData[[#This Row],[Day 7]],tblAccommodationCosts[],5,FALSE),0)+IFERROR(VLOOKUP(AS$12&amp;", "&amp;tblData[[#This Row],[Day 8]],tblAccommodationCosts[],5,FALSE),0)+IFERROR(VLOOKUP(AS$12&amp;", "&amp;tblData[[#This Row],[Day 9]],tblAccommodationCosts[],5,FALSE),0)+AccreditationFee*tblData[[#This Row],[Bill Accred Fee]]))+tblData[[#This Row],[Entry Fee]]</f>
        <v>#VALUE!</v>
      </c>
      <c r="AT47" s="324" t="str">
        <f>IFERROR(VLOOKUP(tblData[[#This Row],[Weight Category, Function, and Gender]],tblWeightOrFunction[],3,0),"")</f>
        <v/>
      </c>
      <c r="AU47" s="84" t="str">
        <f>IFERROR(VLOOKUP(tblData[[#This Row],[Weight Category, Function, and Gender]],tblWeightOrFunction[],4,0),"")</f>
        <v/>
      </c>
      <c r="AV47" s="85" t="str">
        <f>IFERROR(VLOOKUP(tblData[[#This Row],[Weight Category, Function, and Gender]],tblWeightOrFunction[],7,0),"")</f>
        <v/>
      </c>
      <c r="AW47" s="84" t="str">
        <f>IFERROR(VLOOKUP(tblData[[#This Row],[Weight Category, Function, and Gender]],tblWeightOrFunction[],6,0),"")</f>
        <v/>
      </c>
      <c r="AX47" s="84" t="str">
        <f>IFERROR(VLOOKUP(tblData[[#This Row],[Weight Category, Function, and Gender]],tblWeightOrFunction[],2,0),"")</f>
        <v/>
      </c>
      <c r="AY47" s="75">
        <f>tblData[[#This Row],[Arr Date]]+tblData[[#This Row],[Arr Time]]</f>
        <v>0</v>
      </c>
      <c r="AZ47" s="75">
        <f>tblData[[#This Row],[Dep Date]]+tblData[[#This Row],[Dep Time]]</f>
        <v>0</v>
      </c>
      <c r="BA47" s="72">
        <f>COUNTIF(tblData[Surname],"&lt;="&amp;tblData[Surname])</f>
        <v>0</v>
      </c>
      <c r="BB47" s="72">
        <f>COUNTIF(tblData[Given name],"&lt;="&amp;tblData[Given name])</f>
        <v>0</v>
      </c>
      <c r="BC47" s="72">
        <f>COUNTIF(tblData[Arr DateTime],"&lt;="&amp;tblData[Arr DateTime])</f>
        <v>110</v>
      </c>
      <c r="BD47" s="72">
        <f>COUNTIF(tblData[Dep DateTime],"&lt;="&amp;tblData[Dep DateTime])</f>
        <v>110</v>
      </c>
      <c r="BE47" s="72">
        <f>COUNTIF(tblData[ShuttleAtDeparture],"&lt;="&amp;tblData[ShuttleAtDeparture])</f>
        <v>0</v>
      </c>
      <c r="BI47" s="6" t="str">
        <f t="array" ref="BI47">IF(ROWS(tblData[[#Headers],[Id]]:tblData[[#This Row],[Id]])-1&gt;$BI$11,"",INDEX(tblData[Id],SMALL(IF(LEN(TRIM(tblData[Surname]))*((tblData[Type]=$BI$9)+(tblData[Type]=$BI$10)),ROW(tblData[Id])-ROW(tblData[[#Headers],[Id]])),ROWS(tblData[[#Headers],[Id]]:tblData[[#This Row],[Id]])-1)))</f>
        <v/>
      </c>
      <c r="BK47" s="6" t="str">
        <f>IF(ROWS(tblCoachesAndOfficialsSorted[[#Headers],[Id]]:tblCoachesAndOfficialsSorted[[#This Row],[Id]])-1&gt;$BK$11,"",SMALL(tblCoachesAndOfficials[Id],ROWS(tblCoachesAndOfficialsSorted[[#Headers],[Id]]:tblCoachesAndOfficialsSorted[[#This Row],[Id]])-1))</f>
        <v/>
      </c>
      <c r="BM47" s="6" t="str">
        <f t="array" ref="BM47">IF(ROWS(tblData[[#Headers],[Id]]:tblData[[#This Row],[Id]])-1&gt;$BM$11,"",INDEX(tblData[Id],SMALL(IF(LEN(TRIM(tblData[Surname]))*(tblData[Type]=$BM$9),ROW(tblData[Id])-ROW(tblData[[#Headers],[Id]])),ROWS(tblData[[#Headers],[Id]]:tblData[[#This Row],[Id]])-1)))</f>
        <v/>
      </c>
      <c r="BO47" s="6" t="str">
        <f>IF(ROWS(tblWomenSorted[[#Headers],[Id]]:tblWomenSorted[[#This Row],[Id]])-1&gt;$BO$11,"",SMALL(tblWomen[Id],ROWS(tblWomenSorted[[#Headers],[Id]]:tblWomenSorted[[#This Row],[Id]])-1))</f>
        <v/>
      </c>
      <c r="BP47" s="17"/>
      <c r="BQ47" s="6" t="str">
        <f t="array" ref="BQ47">IF(ROWS(tblData[[#Headers],[Id]]:tblData[[#This Row],[Id]])-1&gt;$BQ$11,"",INDEX(tblData[Id],SMALL(IF(LEN(TRIM(tblData[Surname]))*(tblData[Type]=$BQ$9),ROW(tblData[Id])-ROW(tblData[[#Headers],[Id]])),ROWS(tblData[[#Headers],[Id]]:tblData[[#This Row],[Id]])-1)))</f>
        <v/>
      </c>
      <c r="BS47" s="6" t="str">
        <f>IF(ROWS(tblMenSorted[[#Headers],[Id]]:tblMenSorted[[#This Row],[Id]])-1&gt;$BS$11,"",SMALL(tblMen[Id],ROWS(tblMenSorted[[#Headers],[Id]]:tblMenSorted[[#This Row],[Id]])-1))</f>
        <v/>
      </c>
      <c r="BU47" s="6" t="str">
        <f t="array" ref="BU47">IF(ROWS(tblData[[#Headers],[Sorted Name Id]]:tblData[[#This Row],[Sorted Name Id]])-1&gt;$BU$11,"",INDEX(tblData[Sorted Name Id],SMALL(IF(LEN(TRIM(tblData[Surname]))*(tblData[Visa required]="YES"),ROW(tblData[Sorted Name Id])-ROW(tblData[[#Headers],[Sorted Name Id]])),ROWS(tblData[[#Headers],[Sorted Name Id]]:tblData[[#This Row],[Sorted Name Id]])-1)))</f>
        <v/>
      </c>
      <c r="BW47" s="6" t="str">
        <f>IF(ROWS(tblVisasSorted[[#Headers],[Id]]:tblVisasSorted[[#This Row],[Id]])-1&gt;$BW$11,"",SMALL(tblVisas[Id],ROWS(tblVisasSorted[[#Headers],[Id]]:tblVisasSorted[[#This Row],[Id]])-1))</f>
        <v/>
      </c>
      <c r="BY47" s="6" t="str">
        <f t="array" ref="BY47">IF(ROWS(tblData[[#Headers],[Sorted Arr Id]]:tblData[[#This Row],[Sorted Arr Id]])-1&gt;$BY$11,"",INDEX(tblData[Sorted Arr Id],SMALL(IF(LEN(TRIM(tblData[Surname]))*(tblData[Arr DateTime]&gt;0),ROW(tblData[Sorted Arr Id])-ROW(tblData[[#Headers],[Sorted Arr Id]])),ROWS(tblData[[#Headers],[Sorted Arr Id]]:tblData[[#This Row],[Sorted Arr Id]])-1)))</f>
        <v/>
      </c>
      <c r="CA47" s="6" t="str">
        <f>IF(ROWS(tblArrivalSorted[[#Headers],[Id]]:tblArrivalSorted[[#This Row],[Id]])-1&gt;$CA$11,"",SMALL(tblArrival[Id],ROWS(tblArrivalSorted[[#Headers],[Id]]:tblArrivalSorted[[#This Row],[Id]])-1))</f>
        <v/>
      </c>
      <c r="CC47" s="6" t="str">
        <f t="array" ref="CC47">IF(ROWS(tblData[[#Headers],[Sorted Dep Id]]:tblData[[#This Row],[Sorted Dep Id]])-1&gt;$CC$11,"",INDEX(tblData[Sorted Dep Id],SMALL(IF(LEN(TRIM(tblData[Surname]))*(tblData[Dep DateTime]&gt;0),ROW(tblData[Sorted Dep Id])-ROW(tblData[[#Headers],[Sorted Dep Id]])),ROWS(tblData[[#Headers],[Sorted Dep Id]]:tblData[[#This Row],[Sorted Dep Id]])-1)))</f>
        <v/>
      </c>
      <c r="CE47" s="6" t="str">
        <f>IF(ROWS(tblDepartureSorted[[#Headers],[Id]]:tblDepartureSorted[[#This Row],[Id]])-1&gt;$CE$11,"",SMALL(tblDeparture[Id],ROWS(tblDepartureSorted[[#Headers],[Id]]:tblDepartureSorted[[#This Row],[Id]])-1))</f>
        <v/>
      </c>
      <c r="CG47" s="6" t="str">
        <f t="array" ref="CG47">IF(ROWS(tblData[[#Headers],[Id]]:tblData[[#This Row],[Id]])-1&gt;$CG$11,"",INDEX(tblData[Id],SMALL(IF(LEN(TRIM(tblData[Surname])),ROW(tblData[Id])-ROW(tblData[[#Headers],[Id]])),ROWS(tblData[[#Headers],[Id]]:tblData[[#This Row],[Id]])-1)))</f>
        <v/>
      </c>
    </row>
    <row r="48" spans="1:85" s="6" customFormat="1">
      <c r="A48" s="14">
        <f>IF(ISNUMBER(tblData[[#This Row],[SubType2]]),tblData[[#This Row],[SubType2]]*10000+tblData[[#This Row],[No]],1000000+tblData[[#This Row],[No]])</f>
        <v>1000035</v>
      </c>
      <c r="B48" s="14">
        <f>IFERROR(tblData[[#This Row],[Surname Rang]]*1000+tblData[[#This Row],[Given Name Rang]]+tblData[[#This Row],[No]]/1000,"")</f>
        <v>3.5000000000000003E-2</v>
      </c>
      <c r="C48" s="14">
        <f>IFERROR(tblData[[#This Row],[Arr DateTime Rang]]+tblData[[#This Row],[No]]/1000,"")</f>
        <v>110.035</v>
      </c>
      <c r="D48" s="14">
        <f>IFERROR(tblData[[#This Row],[Dep DateTime Rang]]+tblData[[#This Row],[No]]/1000,"")</f>
        <v>110.035</v>
      </c>
      <c r="E48" s="362">
        <f t="shared" si="1"/>
        <v>35</v>
      </c>
      <c r="F48" s="370"/>
      <c r="G48" s="331"/>
      <c r="H48" s="328"/>
      <c r="I48" s="329"/>
      <c r="J48" s="330"/>
      <c r="K48" s="369"/>
      <c r="L48" s="375"/>
      <c r="M48" s="331"/>
      <c r="N48" s="331"/>
      <c r="O48" s="331"/>
      <c r="P48" s="329"/>
      <c r="Q48" s="376"/>
      <c r="R48" s="383"/>
      <c r="S48" s="332"/>
      <c r="T48" s="331"/>
      <c r="U48" s="333"/>
      <c r="V48" s="333"/>
      <c r="W48" s="384"/>
      <c r="X48" s="383"/>
      <c r="Y48" s="332"/>
      <c r="Z48" s="331"/>
      <c r="AA48" s="331"/>
      <c r="AB48" s="333"/>
      <c r="AC48" s="384"/>
      <c r="AD48" s="375"/>
      <c r="AE48" s="369"/>
      <c r="AF48" s="397"/>
      <c r="AG48" s="328"/>
      <c r="AH48" s="328"/>
      <c r="AI48" s="328"/>
      <c r="AJ48" s="328"/>
      <c r="AK48" s="328"/>
      <c r="AL48" s="328"/>
      <c r="AM48" s="328"/>
      <c r="AN48" s="398"/>
      <c r="AO48" s="402" t="str">
        <f>IF(ISBLANK(tblData[[#This Row],[Surname]]),"",IF(tblData[[#This Row],[Bill Accred Fee]]=0,"NO","YES"))</f>
        <v/>
      </c>
      <c r="AP48" s="406">
        <f>IF(AND(NOT(ISBLANK(tblData[[#This Row],[Surname]])),COUNTA(tblData[[#This Row],[Day 1]:[Day 9]])=0),1,0)</f>
        <v>0</v>
      </c>
      <c r="AQ48" s="406">
        <f>IF(AND(NOT(ISBLANK(tblData[[#This Row],[Surname]])),tblData[[#This Row],[Position]]="Athlete"),1,0)</f>
        <v>0</v>
      </c>
      <c r="AR48" s="433">
        <f>EntryFee*tblData[[#This Row],[Entry Fee Billable]]</f>
        <v>0</v>
      </c>
      <c r="AS48" s="410" t="e">
        <f>IF(ISBLANK(SelectedCategory),"No Cat!",IF(ISBLANK($F48),0,IFERROR(VLOOKUP(AS$12&amp;", "&amp;tblData[[#This Row],[Day 1]],tblAccommodationCosts[],5,FALSE),0)+IFERROR(VLOOKUP(AS$12&amp;", "&amp;tblData[[#This Row],[Day 2]],tblAccommodationCosts[],5,FALSE),0)+IFERROR(VLOOKUP(AS$12&amp;", "&amp;tblData[[#This Row],[Day 3]],tblAccommodationCosts[],5,FALSE),0)+IFERROR(VLOOKUP(AS$12&amp;", "&amp;tblData[[#This Row],[Day 4]],tblAccommodationCosts[],5,FALSE),0)+IFERROR(VLOOKUP(AS$12&amp;", "&amp;tblData[[#This Row],[Day 5]],tblAccommodationCosts[],5,FALSE),0)+IFERROR(VLOOKUP(AS$12&amp;", "&amp;tblData[[#This Row],[Day 6]],tblAccommodationCosts[],5,FALSE),0)+IFERROR(VLOOKUP(AS$12&amp;", "&amp;tblData[[#This Row],[Day 7]],tblAccommodationCosts[],5,FALSE),0)+IFERROR(VLOOKUP(AS$12&amp;", "&amp;tblData[[#This Row],[Day 8]],tblAccommodationCosts[],5,FALSE),0)+IFERROR(VLOOKUP(AS$12&amp;", "&amp;tblData[[#This Row],[Day 9]],tblAccommodationCosts[],5,FALSE),0)+AccreditationFee*tblData[[#This Row],[Bill Accred Fee]]))+tblData[[#This Row],[Entry Fee]]</f>
        <v>#VALUE!</v>
      </c>
      <c r="AT48" s="324" t="str">
        <f>IFERROR(VLOOKUP(tblData[[#This Row],[Weight Category, Function, and Gender]],tblWeightOrFunction[],3,0),"")</f>
        <v/>
      </c>
      <c r="AU48" s="84" t="str">
        <f>IFERROR(VLOOKUP(tblData[[#This Row],[Weight Category, Function, and Gender]],tblWeightOrFunction[],4,0),"")</f>
        <v/>
      </c>
      <c r="AV48" s="85" t="str">
        <f>IFERROR(VLOOKUP(tblData[[#This Row],[Weight Category, Function, and Gender]],tblWeightOrFunction[],7,0),"")</f>
        <v/>
      </c>
      <c r="AW48" s="84" t="str">
        <f>IFERROR(VLOOKUP(tblData[[#This Row],[Weight Category, Function, and Gender]],tblWeightOrFunction[],6,0),"")</f>
        <v/>
      </c>
      <c r="AX48" s="84" t="str">
        <f>IFERROR(VLOOKUP(tblData[[#This Row],[Weight Category, Function, and Gender]],tblWeightOrFunction[],2,0),"")</f>
        <v/>
      </c>
      <c r="AY48" s="75">
        <f>tblData[[#This Row],[Arr Date]]+tblData[[#This Row],[Arr Time]]</f>
        <v>0</v>
      </c>
      <c r="AZ48" s="75">
        <f>tblData[[#This Row],[Dep Date]]+tblData[[#This Row],[Dep Time]]</f>
        <v>0</v>
      </c>
      <c r="BA48" s="72">
        <f>COUNTIF(tblData[Surname],"&lt;="&amp;tblData[Surname])</f>
        <v>0</v>
      </c>
      <c r="BB48" s="72">
        <f>COUNTIF(tblData[Given name],"&lt;="&amp;tblData[Given name])</f>
        <v>0</v>
      </c>
      <c r="BC48" s="72">
        <f>COUNTIF(tblData[Arr DateTime],"&lt;="&amp;tblData[Arr DateTime])</f>
        <v>110</v>
      </c>
      <c r="BD48" s="72">
        <f>COUNTIF(tblData[Dep DateTime],"&lt;="&amp;tblData[Dep DateTime])</f>
        <v>110</v>
      </c>
      <c r="BE48" s="72">
        <f>COUNTIF(tblData[ShuttleAtDeparture],"&lt;="&amp;tblData[ShuttleAtDeparture])</f>
        <v>0</v>
      </c>
      <c r="BI48" s="6" t="str">
        <f t="array" ref="BI48">IF(ROWS(tblData[[#Headers],[Id]]:tblData[[#This Row],[Id]])-1&gt;$BI$11,"",INDEX(tblData[Id],SMALL(IF(LEN(TRIM(tblData[Surname]))*((tblData[Type]=$BI$9)+(tblData[Type]=$BI$10)),ROW(tblData[Id])-ROW(tblData[[#Headers],[Id]])),ROWS(tblData[[#Headers],[Id]]:tblData[[#This Row],[Id]])-1)))</f>
        <v/>
      </c>
      <c r="BK48" s="6" t="str">
        <f>IF(ROWS(tblCoachesAndOfficialsSorted[[#Headers],[Id]]:tblCoachesAndOfficialsSorted[[#This Row],[Id]])-1&gt;$BK$11,"",SMALL(tblCoachesAndOfficials[Id],ROWS(tblCoachesAndOfficialsSorted[[#Headers],[Id]]:tblCoachesAndOfficialsSorted[[#This Row],[Id]])-1))</f>
        <v/>
      </c>
      <c r="BM48" s="6" t="str">
        <f t="array" ref="BM48">IF(ROWS(tblData[[#Headers],[Id]]:tblData[[#This Row],[Id]])-1&gt;$BM$11,"",INDEX(tblData[Id],SMALL(IF(LEN(TRIM(tblData[Surname]))*(tblData[Type]=$BM$9),ROW(tblData[Id])-ROW(tblData[[#Headers],[Id]])),ROWS(tblData[[#Headers],[Id]]:tblData[[#This Row],[Id]])-1)))</f>
        <v/>
      </c>
      <c r="BO48" s="6" t="str">
        <f>IF(ROWS(tblWomenSorted[[#Headers],[Id]]:tblWomenSorted[[#This Row],[Id]])-1&gt;$BO$11,"",SMALL(tblWomen[Id],ROWS(tblWomenSorted[[#Headers],[Id]]:tblWomenSorted[[#This Row],[Id]])-1))</f>
        <v/>
      </c>
      <c r="BP48" s="17"/>
      <c r="BQ48" s="6" t="str">
        <f t="array" ref="BQ48">IF(ROWS(tblData[[#Headers],[Id]]:tblData[[#This Row],[Id]])-1&gt;$BQ$11,"",INDEX(tblData[Id],SMALL(IF(LEN(TRIM(tblData[Surname]))*(tblData[Type]=$BQ$9),ROW(tblData[Id])-ROW(tblData[[#Headers],[Id]])),ROWS(tblData[[#Headers],[Id]]:tblData[[#This Row],[Id]])-1)))</f>
        <v/>
      </c>
      <c r="BS48" s="6" t="str">
        <f>IF(ROWS(tblMenSorted[[#Headers],[Id]]:tblMenSorted[[#This Row],[Id]])-1&gt;$BS$11,"",SMALL(tblMen[Id],ROWS(tblMenSorted[[#Headers],[Id]]:tblMenSorted[[#This Row],[Id]])-1))</f>
        <v/>
      </c>
      <c r="BU48" s="6" t="str">
        <f t="array" ref="BU48">IF(ROWS(tblData[[#Headers],[Sorted Name Id]]:tblData[[#This Row],[Sorted Name Id]])-1&gt;$BU$11,"",INDEX(tblData[Sorted Name Id],SMALL(IF(LEN(TRIM(tblData[Surname]))*(tblData[Visa required]="YES"),ROW(tblData[Sorted Name Id])-ROW(tblData[[#Headers],[Sorted Name Id]])),ROWS(tblData[[#Headers],[Sorted Name Id]]:tblData[[#This Row],[Sorted Name Id]])-1)))</f>
        <v/>
      </c>
      <c r="BW48" s="6" t="str">
        <f>IF(ROWS(tblVisasSorted[[#Headers],[Id]]:tblVisasSorted[[#This Row],[Id]])-1&gt;$BW$11,"",SMALL(tblVisas[Id],ROWS(tblVisasSorted[[#Headers],[Id]]:tblVisasSorted[[#This Row],[Id]])-1))</f>
        <v/>
      </c>
      <c r="BY48" s="6" t="str">
        <f t="array" ref="BY48">IF(ROWS(tblData[[#Headers],[Sorted Arr Id]]:tblData[[#This Row],[Sorted Arr Id]])-1&gt;$BY$11,"",INDEX(tblData[Sorted Arr Id],SMALL(IF(LEN(TRIM(tblData[Surname]))*(tblData[Arr DateTime]&gt;0),ROW(tblData[Sorted Arr Id])-ROW(tblData[[#Headers],[Sorted Arr Id]])),ROWS(tblData[[#Headers],[Sorted Arr Id]]:tblData[[#This Row],[Sorted Arr Id]])-1)))</f>
        <v/>
      </c>
      <c r="CA48" s="6" t="str">
        <f>IF(ROWS(tblArrivalSorted[[#Headers],[Id]]:tblArrivalSorted[[#This Row],[Id]])-1&gt;$CA$11,"",SMALL(tblArrival[Id],ROWS(tblArrivalSorted[[#Headers],[Id]]:tblArrivalSorted[[#This Row],[Id]])-1))</f>
        <v/>
      </c>
      <c r="CC48" s="6" t="str">
        <f t="array" ref="CC48">IF(ROWS(tblData[[#Headers],[Sorted Dep Id]]:tblData[[#This Row],[Sorted Dep Id]])-1&gt;$CC$11,"",INDEX(tblData[Sorted Dep Id],SMALL(IF(LEN(TRIM(tblData[Surname]))*(tblData[Dep DateTime]&gt;0),ROW(tblData[Sorted Dep Id])-ROW(tblData[[#Headers],[Sorted Dep Id]])),ROWS(tblData[[#Headers],[Sorted Dep Id]]:tblData[[#This Row],[Sorted Dep Id]])-1)))</f>
        <v/>
      </c>
      <c r="CE48" s="6" t="str">
        <f>IF(ROWS(tblDepartureSorted[[#Headers],[Id]]:tblDepartureSorted[[#This Row],[Id]])-1&gt;$CE$11,"",SMALL(tblDeparture[Id],ROWS(tblDepartureSorted[[#Headers],[Id]]:tblDepartureSorted[[#This Row],[Id]])-1))</f>
        <v/>
      </c>
      <c r="CG48" s="6" t="str">
        <f t="array" ref="CG48">IF(ROWS(tblData[[#Headers],[Id]]:tblData[[#This Row],[Id]])-1&gt;$CG$11,"",INDEX(tblData[Id],SMALL(IF(LEN(TRIM(tblData[Surname])),ROW(tblData[Id])-ROW(tblData[[#Headers],[Id]])),ROWS(tblData[[#Headers],[Id]]:tblData[[#This Row],[Id]])-1)))</f>
        <v/>
      </c>
    </row>
    <row r="49" spans="1:85" s="6" customFormat="1">
      <c r="A49" s="14">
        <f>IF(ISNUMBER(tblData[[#This Row],[SubType2]]),tblData[[#This Row],[SubType2]]*10000+tblData[[#This Row],[No]],1000000+tblData[[#This Row],[No]])</f>
        <v>1000036</v>
      </c>
      <c r="B49" s="14">
        <f>IFERROR(tblData[[#This Row],[Surname Rang]]*1000+tblData[[#This Row],[Given Name Rang]]+tblData[[#This Row],[No]]/1000,"")</f>
        <v>3.5999999999999997E-2</v>
      </c>
      <c r="C49" s="14">
        <f>IFERROR(tblData[[#This Row],[Arr DateTime Rang]]+tblData[[#This Row],[No]]/1000,"")</f>
        <v>110.036</v>
      </c>
      <c r="D49" s="14">
        <f>IFERROR(tblData[[#This Row],[Dep DateTime Rang]]+tblData[[#This Row],[No]]/1000,"")</f>
        <v>110.036</v>
      </c>
      <c r="E49" s="362">
        <f t="shared" si="1"/>
        <v>36</v>
      </c>
      <c r="F49" s="370"/>
      <c r="G49" s="331"/>
      <c r="H49" s="328"/>
      <c r="I49" s="329"/>
      <c r="J49" s="330"/>
      <c r="K49" s="369"/>
      <c r="L49" s="375"/>
      <c r="M49" s="331"/>
      <c r="N49" s="331"/>
      <c r="O49" s="331"/>
      <c r="P49" s="329"/>
      <c r="Q49" s="376"/>
      <c r="R49" s="383"/>
      <c r="S49" s="332"/>
      <c r="T49" s="331"/>
      <c r="U49" s="333"/>
      <c r="V49" s="333"/>
      <c r="W49" s="384"/>
      <c r="X49" s="383"/>
      <c r="Y49" s="332"/>
      <c r="Z49" s="331"/>
      <c r="AA49" s="331"/>
      <c r="AB49" s="333"/>
      <c r="AC49" s="384"/>
      <c r="AD49" s="375"/>
      <c r="AE49" s="369"/>
      <c r="AF49" s="397"/>
      <c r="AG49" s="328"/>
      <c r="AH49" s="328"/>
      <c r="AI49" s="328"/>
      <c r="AJ49" s="328"/>
      <c r="AK49" s="328"/>
      <c r="AL49" s="328"/>
      <c r="AM49" s="328"/>
      <c r="AN49" s="398"/>
      <c r="AO49" s="402" t="str">
        <f>IF(ISBLANK(tblData[[#This Row],[Surname]]),"",IF(tblData[[#This Row],[Bill Accred Fee]]=0,"NO","YES"))</f>
        <v/>
      </c>
      <c r="AP49" s="406">
        <f>IF(AND(NOT(ISBLANK(tblData[[#This Row],[Surname]])),COUNTA(tblData[[#This Row],[Day 1]:[Day 9]])=0),1,0)</f>
        <v>0</v>
      </c>
      <c r="AQ49" s="406">
        <f>IF(AND(NOT(ISBLANK(tblData[[#This Row],[Surname]])),tblData[[#This Row],[Position]]="Athlete"),1,0)</f>
        <v>0</v>
      </c>
      <c r="AR49" s="433">
        <f>EntryFee*tblData[[#This Row],[Entry Fee Billable]]</f>
        <v>0</v>
      </c>
      <c r="AS49" s="410" t="e">
        <f>IF(ISBLANK(SelectedCategory),"No Cat!",IF(ISBLANK($F49),0,IFERROR(VLOOKUP(AS$12&amp;", "&amp;tblData[[#This Row],[Day 1]],tblAccommodationCosts[],5,FALSE),0)+IFERROR(VLOOKUP(AS$12&amp;", "&amp;tblData[[#This Row],[Day 2]],tblAccommodationCosts[],5,FALSE),0)+IFERROR(VLOOKUP(AS$12&amp;", "&amp;tblData[[#This Row],[Day 3]],tblAccommodationCosts[],5,FALSE),0)+IFERROR(VLOOKUP(AS$12&amp;", "&amp;tblData[[#This Row],[Day 4]],tblAccommodationCosts[],5,FALSE),0)+IFERROR(VLOOKUP(AS$12&amp;", "&amp;tblData[[#This Row],[Day 5]],tblAccommodationCosts[],5,FALSE),0)+IFERROR(VLOOKUP(AS$12&amp;", "&amp;tblData[[#This Row],[Day 6]],tblAccommodationCosts[],5,FALSE),0)+IFERROR(VLOOKUP(AS$12&amp;", "&amp;tblData[[#This Row],[Day 7]],tblAccommodationCosts[],5,FALSE),0)+IFERROR(VLOOKUP(AS$12&amp;", "&amp;tblData[[#This Row],[Day 8]],tblAccommodationCosts[],5,FALSE),0)+IFERROR(VLOOKUP(AS$12&amp;", "&amp;tblData[[#This Row],[Day 9]],tblAccommodationCosts[],5,FALSE),0)+AccreditationFee*tblData[[#This Row],[Bill Accred Fee]]))+tblData[[#This Row],[Entry Fee]]</f>
        <v>#VALUE!</v>
      </c>
      <c r="AT49" s="324" t="str">
        <f>IFERROR(VLOOKUP(tblData[[#This Row],[Weight Category, Function, and Gender]],tblWeightOrFunction[],3,0),"")</f>
        <v/>
      </c>
      <c r="AU49" s="84" t="str">
        <f>IFERROR(VLOOKUP(tblData[[#This Row],[Weight Category, Function, and Gender]],tblWeightOrFunction[],4,0),"")</f>
        <v/>
      </c>
      <c r="AV49" s="85" t="str">
        <f>IFERROR(VLOOKUP(tblData[[#This Row],[Weight Category, Function, and Gender]],tblWeightOrFunction[],7,0),"")</f>
        <v/>
      </c>
      <c r="AW49" s="84" t="str">
        <f>IFERROR(VLOOKUP(tblData[[#This Row],[Weight Category, Function, and Gender]],tblWeightOrFunction[],6,0),"")</f>
        <v/>
      </c>
      <c r="AX49" s="84" t="str">
        <f>IFERROR(VLOOKUP(tblData[[#This Row],[Weight Category, Function, and Gender]],tblWeightOrFunction[],2,0),"")</f>
        <v/>
      </c>
      <c r="AY49" s="75">
        <f>tblData[[#This Row],[Arr Date]]+tblData[[#This Row],[Arr Time]]</f>
        <v>0</v>
      </c>
      <c r="AZ49" s="75">
        <f>tblData[[#This Row],[Dep Date]]+tblData[[#This Row],[Dep Time]]</f>
        <v>0</v>
      </c>
      <c r="BA49" s="72">
        <f>COUNTIF(tblData[Surname],"&lt;="&amp;tblData[Surname])</f>
        <v>0</v>
      </c>
      <c r="BB49" s="72">
        <f>COUNTIF(tblData[Given name],"&lt;="&amp;tblData[Given name])</f>
        <v>0</v>
      </c>
      <c r="BC49" s="72">
        <f>COUNTIF(tblData[Arr DateTime],"&lt;="&amp;tblData[Arr DateTime])</f>
        <v>110</v>
      </c>
      <c r="BD49" s="72">
        <f>COUNTIF(tblData[Dep DateTime],"&lt;="&amp;tblData[Dep DateTime])</f>
        <v>110</v>
      </c>
      <c r="BE49" s="72">
        <f>COUNTIF(tblData[ShuttleAtDeparture],"&lt;="&amp;tblData[ShuttleAtDeparture])</f>
        <v>0</v>
      </c>
      <c r="BI49" s="6" t="str">
        <f t="array" ref="BI49">IF(ROWS(tblData[[#Headers],[Id]]:tblData[[#This Row],[Id]])-1&gt;$BI$11,"",INDEX(tblData[Id],SMALL(IF(LEN(TRIM(tblData[Surname]))*((tblData[Type]=$BI$9)+(tblData[Type]=$BI$10)),ROW(tblData[Id])-ROW(tblData[[#Headers],[Id]])),ROWS(tblData[[#Headers],[Id]]:tblData[[#This Row],[Id]])-1)))</f>
        <v/>
      </c>
      <c r="BK49" s="6" t="str">
        <f>IF(ROWS(tblCoachesAndOfficialsSorted[[#Headers],[Id]]:tblCoachesAndOfficialsSorted[[#This Row],[Id]])-1&gt;$BK$11,"",SMALL(tblCoachesAndOfficials[Id],ROWS(tblCoachesAndOfficialsSorted[[#Headers],[Id]]:tblCoachesAndOfficialsSorted[[#This Row],[Id]])-1))</f>
        <v/>
      </c>
      <c r="BM49" s="6" t="str">
        <f t="array" ref="BM49">IF(ROWS(tblData[[#Headers],[Id]]:tblData[[#This Row],[Id]])-1&gt;$BM$11,"",INDEX(tblData[Id],SMALL(IF(LEN(TRIM(tblData[Surname]))*(tblData[Type]=$BM$9),ROW(tblData[Id])-ROW(tblData[[#Headers],[Id]])),ROWS(tblData[[#Headers],[Id]]:tblData[[#This Row],[Id]])-1)))</f>
        <v/>
      </c>
      <c r="BO49" s="6" t="str">
        <f>IF(ROWS(tblWomenSorted[[#Headers],[Id]]:tblWomenSorted[[#This Row],[Id]])-1&gt;$BO$11,"",SMALL(tblWomen[Id],ROWS(tblWomenSorted[[#Headers],[Id]]:tblWomenSorted[[#This Row],[Id]])-1))</f>
        <v/>
      </c>
      <c r="BP49" s="17"/>
      <c r="BQ49" s="6" t="str">
        <f t="array" ref="BQ49">IF(ROWS(tblData[[#Headers],[Id]]:tblData[[#This Row],[Id]])-1&gt;$BQ$11,"",INDEX(tblData[Id],SMALL(IF(LEN(TRIM(tblData[Surname]))*(tblData[Type]=$BQ$9),ROW(tblData[Id])-ROW(tblData[[#Headers],[Id]])),ROWS(tblData[[#Headers],[Id]]:tblData[[#This Row],[Id]])-1)))</f>
        <v/>
      </c>
      <c r="BS49" s="6" t="str">
        <f>IF(ROWS(tblMenSorted[[#Headers],[Id]]:tblMenSorted[[#This Row],[Id]])-1&gt;$BS$11,"",SMALL(tblMen[Id],ROWS(tblMenSorted[[#Headers],[Id]]:tblMenSorted[[#This Row],[Id]])-1))</f>
        <v/>
      </c>
      <c r="BU49" s="6" t="str">
        <f t="array" ref="BU49">IF(ROWS(tblData[[#Headers],[Sorted Name Id]]:tblData[[#This Row],[Sorted Name Id]])-1&gt;$BU$11,"",INDEX(tblData[Sorted Name Id],SMALL(IF(LEN(TRIM(tblData[Surname]))*(tblData[Visa required]="YES"),ROW(tblData[Sorted Name Id])-ROW(tblData[[#Headers],[Sorted Name Id]])),ROWS(tblData[[#Headers],[Sorted Name Id]]:tblData[[#This Row],[Sorted Name Id]])-1)))</f>
        <v/>
      </c>
      <c r="BW49" s="6" t="str">
        <f>IF(ROWS(tblVisasSorted[[#Headers],[Id]]:tblVisasSorted[[#This Row],[Id]])-1&gt;$BW$11,"",SMALL(tblVisas[Id],ROWS(tblVisasSorted[[#Headers],[Id]]:tblVisasSorted[[#This Row],[Id]])-1))</f>
        <v/>
      </c>
      <c r="BY49" s="6" t="str">
        <f t="array" ref="BY49">IF(ROWS(tblData[[#Headers],[Sorted Arr Id]]:tblData[[#This Row],[Sorted Arr Id]])-1&gt;$BY$11,"",INDEX(tblData[Sorted Arr Id],SMALL(IF(LEN(TRIM(tblData[Surname]))*(tblData[Arr DateTime]&gt;0),ROW(tblData[Sorted Arr Id])-ROW(tblData[[#Headers],[Sorted Arr Id]])),ROWS(tblData[[#Headers],[Sorted Arr Id]]:tblData[[#This Row],[Sorted Arr Id]])-1)))</f>
        <v/>
      </c>
      <c r="CA49" s="6" t="str">
        <f>IF(ROWS(tblArrivalSorted[[#Headers],[Id]]:tblArrivalSorted[[#This Row],[Id]])-1&gt;$CA$11,"",SMALL(tblArrival[Id],ROWS(tblArrivalSorted[[#Headers],[Id]]:tblArrivalSorted[[#This Row],[Id]])-1))</f>
        <v/>
      </c>
      <c r="CC49" s="6" t="str">
        <f t="array" ref="CC49">IF(ROWS(tblData[[#Headers],[Sorted Dep Id]]:tblData[[#This Row],[Sorted Dep Id]])-1&gt;$CC$11,"",INDEX(tblData[Sorted Dep Id],SMALL(IF(LEN(TRIM(tblData[Surname]))*(tblData[Dep DateTime]&gt;0),ROW(tblData[Sorted Dep Id])-ROW(tblData[[#Headers],[Sorted Dep Id]])),ROWS(tblData[[#Headers],[Sorted Dep Id]]:tblData[[#This Row],[Sorted Dep Id]])-1)))</f>
        <v/>
      </c>
      <c r="CE49" s="6" t="str">
        <f>IF(ROWS(tblDepartureSorted[[#Headers],[Id]]:tblDepartureSorted[[#This Row],[Id]])-1&gt;$CE$11,"",SMALL(tblDeparture[Id],ROWS(tblDepartureSorted[[#Headers],[Id]]:tblDepartureSorted[[#This Row],[Id]])-1))</f>
        <v/>
      </c>
      <c r="CG49" s="6" t="str">
        <f t="array" ref="CG49">IF(ROWS(tblData[[#Headers],[Id]]:tblData[[#This Row],[Id]])-1&gt;$CG$11,"",INDEX(tblData[Id],SMALL(IF(LEN(TRIM(tblData[Surname])),ROW(tblData[Id])-ROW(tblData[[#Headers],[Id]])),ROWS(tblData[[#Headers],[Id]]:tblData[[#This Row],[Id]])-1)))</f>
        <v/>
      </c>
    </row>
    <row r="50" spans="1:85" s="6" customFormat="1">
      <c r="A50" s="14">
        <f>IF(ISNUMBER(tblData[[#This Row],[SubType2]]),tblData[[#This Row],[SubType2]]*10000+tblData[[#This Row],[No]],1000000+tblData[[#This Row],[No]])</f>
        <v>1000037</v>
      </c>
      <c r="B50" s="14">
        <f>IFERROR(tblData[[#This Row],[Surname Rang]]*1000+tblData[[#This Row],[Given Name Rang]]+tblData[[#This Row],[No]]/1000,"")</f>
        <v>3.6999999999999998E-2</v>
      </c>
      <c r="C50" s="14">
        <f>IFERROR(tblData[[#This Row],[Arr DateTime Rang]]+tblData[[#This Row],[No]]/1000,"")</f>
        <v>110.03700000000001</v>
      </c>
      <c r="D50" s="14">
        <f>IFERROR(tblData[[#This Row],[Dep DateTime Rang]]+tblData[[#This Row],[No]]/1000,"")</f>
        <v>110.03700000000001</v>
      </c>
      <c r="E50" s="362">
        <f t="shared" si="1"/>
        <v>37</v>
      </c>
      <c r="F50" s="370"/>
      <c r="G50" s="331"/>
      <c r="H50" s="328"/>
      <c r="I50" s="329"/>
      <c r="J50" s="330"/>
      <c r="K50" s="369"/>
      <c r="L50" s="375"/>
      <c r="M50" s="331"/>
      <c r="N50" s="331"/>
      <c r="O50" s="331"/>
      <c r="P50" s="329"/>
      <c r="Q50" s="376"/>
      <c r="R50" s="383"/>
      <c r="S50" s="332"/>
      <c r="T50" s="331"/>
      <c r="U50" s="333"/>
      <c r="V50" s="333"/>
      <c r="W50" s="384"/>
      <c r="X50" s="383"/>
      <c r="Y50" s="332"/>
      <c r="Z50" s="331"/>
      <c r="AA50" s="331"/>
      <c r="AB50" s="333"/>
      <c r="AC50" s="384"/>
      <c r="AD50" s="375"/>
      <c r="AE50" s="369"/>
      <c r="AF50" s="397"/>
      <c r="AG50" s="328"/>
      <c r="AH50" s="328"/>
      <c r="AI50" s="328"/>
      <c r="AJ50" s="328"/>
      <c r="AK50" s="328"/>
      <c r="AL50" s="328"/>
      <c r="AM50" s="328"/>
      <c r="AN50" s="398"/>
      <c r="AO50" s="402" t="str">
        <f>IF(ISBLANK(tblData[[#This Row],[Surname]]),"",IF(tblData[[#This Row],[Bill Accred Fee]]=0,"NO","YES"))</f>
        <v/>
      </c>
      <c r="AP50" s="406">
        <f>IF(AND(NOT(ISBLANK(tblData[[#This Row],[Surname]])),COUNTA(tblData[[#This Row],[Day 1]:[Day 9]])=0),1,0)</f>
        <v>0</v>
      </c>
      <c r="AQ50" s="406">
        <f>IF(AND(NOT(ISBLANK(tblData[[#This Row],[Surname]])),tblData[[#This Row],[Position]]="Athlete"),1,0)</f>
        <v>0</v>
      </c>
      <c r="AR50" s="433">
        <f>EntryFee*tblData[[#This Row],[Entry Fee Billable]]</f>
        <v>0</v>
      </c>
      <c r="AS50" s="410" t="e">
        <f>IF(ISBLANK(SelectedCategory),"No Cat!",IF(ISBLANK($F50),0,IFERROR(VLOOKUP(AS$12&amp;", "&amp;tblData[[#This Row],[Day 1]],tblAccommodationCosts[],5,FALSE),0)+IFERROR(VLOOKUP(AS$12&amp;", "&amp;tblData[[#This Row],[Day 2]],tblAccommodationCosts[],5,FALSE),0)+IFERROR(VLOOKUP(AS$12&amp;", "&amp;tblData[[#This Row],[Day 3]],tblAccommodationCosts[],5,FALSE),0)+IFERROR(VLOOKUP(AS$12&amp;", "&amp;tblData[[#This Row],[Day 4]],tblAccommodationCosts[],5,FALSE),0)+IFERROR(VLOOKUP(AS$12&amp;", "&amp;tblData[[#This Row],[Day 5]],tblAccommodationCosts[],5,FALSE),0)+IFERROR(VLOOKUP(AS$12&amp;", "&amp;tblData[[#This Row],[Day 6]],tblAccommodationCosts[],5,FALSE),0)+IFERROR(VLOOKUP(AS$12&amp;", "&amp;tblData[[#This Row],[Day 7]],tblAccommodationCosts[],5,FALSE),0)+IFERROR(VLOOKUP(AS$12&amp;", "&amp;tblData[[#This Row],[Day 8]],tblAccommodationCosts[],5,FALSE),0)+IFERROR(VLOOKUP(AS$12&amp;", "&amp;tblData[[#This Row],[Day 9]],tblAccommodationCosts[],5,FALSE),0)+AccreditationFee*tblData[[#This Row],[Bill Accred Fee]]))+tblData[[#This Row],[Entry Fee]]</f>
        <v>#VALUE!</v>
      </c>
      <c r="AT50" s="324" t="str">
        <f>IFERROR(VLOOKUP(tblData[[#This Row],[Weight Category, Function, and Gender]],tblWeightOrFunction[],3,0),"")</f>
        <v/>
      </c>
      <c r="AU50" s="84" t="str">
        <f>IFERROR(VLOOKUP(tblData[[#This Row],[Weight Category, Function, and Gender]],tblWeightOrFunction[],4,0),"")</f>
        <v/>
      </c>
      <c r="AV50" s="85" t="str">
        <f>IFERROR(VLOOKUP(tblData[[#This Row],[Weight Category, Function, and Gender]],tblWeightOrFunction[],7,0),"")</f>
        <v/>
      </c>
      <c r="AW50" s="84" t="str">
        <f>IFERROR(VLOOKUP(tblData[[#This Row],[Weight Category, Function, and Gender]],tblWeightOrFunction[],6,0),"")</f>
        <v/>
      </c>
      <c r="AX50" s="84" t="str">
        <f>IFERROR(VLOOKUP(tblData[[#This Row],[Weight Category, Function, and Gender]],tblWeightOrFunction[],2,0),"")</f>
        <v/>
      </c>
      <c r="AY50" s="75">
        <f>tblData[[#This Row],[Arr Date]]+tblData[[#This Row],[Arr Time]]</f>
        <v>0</v>
      </c>
      <c r="AZ50" s="75">
        <f>tblData[[#This Row],[Dep Date]]+tblData[[#This Row],[Dep Time]]</f>
        <v>0</v>
      </c>
      <c r="BA50" s="72">
        <f>COUNTIF(tblData[Surname],"&lt;="&amp;tblData[Surname])</f>
        <v>0</v>
      </c>
      <c r="BB50" s="72">
        <f>COUNTIF(tblData[Given name],"&lt;="&amp;tblData[Given name])</f>
        <v>0</v>
      </c>
      <c r="BC50" s="72">
        <f>COUNTIF(tblData[Arr DateTime],"&lt;="&amp;tblData[Arr DateTime])</f>
        <v>110</v>
      </c>
      <c r="BD50" s="72">
        <f>COUNTIF(tblData[Dep DateTime],"&lt;="&amp;tblData[Dep DateTime])</f>
        <v>110</v>
      </c>
      <c r="BE50" s="72">
        <f>COUNTIF(tblData[ShuttleAtDeparture],"&lt;="&amp;tblData[ShuttleAtDeparture])</f>
        <v>0</v>
      </c>
      <c r="BI50" s="6" t="str">
        <f t="array" ref="BI50">IF(ROWS(tblData[[#Headers],[Id]]:tblData[[#This Row],[Id]])-1&gt;$BI$11,"",INDEX(tblData[Id],SMALL(IF(LEN(TRIM(tblData[Surname]))*((tblData[Type]=$BI$9)+(tblData[Type]=$BI$10)),ROW(tblData[Id])-ROW(tblData[[#Headers],[Id]])),ROWS(tblData[[#Headers],[Id]]:tblData[[#This Row],[Id]])-1)))</f>
        <v/>
      </c>
      <c r="BK50" s="6" t="str">
        <f>IF(ROWS(tblCoachesAndOfficialsSorted[[#Headers],[Id]]:tblCoachesAndOfficialsSorted[[#This Row],[Id]])-1&gt;$BK$11,"",SMALL(tblCoachesAndOfficials[Id],ROWS(tblCoachesAndOfficialsSorted[[#Headers],[Id]]:tblCoachesAndOfficialsSorted[[#This Row],[Id]])-1))</f>
        <v/>
      </c>
      <c r="BM50" s="6" t="str">
        <f t="array" ref="BM50">IF(ROWS(tblData[[#Headers],[Id]]:tblData[[#This Row],[Id]])-1&gt;$BM$11,"",INDEX(tblData[Id],SMALL(IF(LEN(TRIM(tblData[Surname]))*(tblData[Type]=$BM$9),ROW(tblData[Id])-ROW(tblData[[#Headers],[Id]])),ROWS(tblData[[#Headers],[Id]]:tblData[[#This Row],[Id]])-1)))</f>
        <v/>
      </c>
      <c r="BO50" s="6" t="str">
        <f>IF(ROWS(tblWomenSorted[[#Headers],[Id]]:tblWomenSorted[[#This Row],[Id]])-1&gt;$BO$11,"",SMALL(tblWomen[Id],ROWS(tblWomenSorted[[#Headers],[Id]]:tblWomenSorted[[#This Row],[Id]])-1))</f>
        <v/>
      </c>
      <c r="BP50" s="17"/>
      <c r="BQ50" s="6" t="str">
        <f t="array" ref="BQ50">IF(ROWS(tblData[[#Headers],[Id]]:tblData[[#This Row],[Id]])-1&gt;$BQ$11,"",INDEX(tblData[Id],SMALL(IF(LEN(TRIM(tblData[Surname]))*(tblData[Type]=$BQ$9),ROW(tblData[Id])-ROW(tblData[[#Headers],[Id]])),ROWS(tblData[[#Headers],[Id]]:tblData[[#This Row],[Id]])-1)))</f>
        <v/>
      </c>
      <c r="BS50" s="6" t="str">
        <f>IF(ROWS(tblMenSorted[[#Headers],[Id]]:tblMenSorted[[#This Row],[Id]])-1&gt;$BS$11,"",SMALL(tblMen[Id],ROWS(tblMenSorted[[#Headers],[Id]]:tblMenSorted[[#This Row],[Id]])-1))</f>
        <v/>
      </c>
      <c r="BU50" s="6" t="str">
        <f t="array" ref="BU50">IF(ROWS(tblData[[#Headers],[Sorted Name Id]]:tblData[[#This Row],[Sorted Name Id]])-1&gt;$BU$11,"",INDEX(tblData[Sorted Name Id],SMALL(IF(LEN(TRIM(tblData[Surname]))*(tblData[Visa required]="YES"),ROW(tblData[Sorted Name Id])-ROW(tblData[[#Headers],[Sorted Name Id]])),ROWS(tblData[[#Headers],[Sorted Name Id]]:tblData[[#This Row],[Sorted Name Id]])-1)))</f>
        <v/>
      </c>
      <c r="BW50" s="6" t="str">
        <f>IF(ROWS(tblVisasSorted[[#Headers],[Id]]:tblVisasSorted[[#This Row],[Id]])-1&gt;$BW$11,"",SMALL(tblVisas[Id],ROWS(tblVisasSorted[[#Headers],[Id]]:tblVisasSorted[[#This Row],[Id]])-1))</f>
        <v/>
      </c>
      <c r="BY50" s="6" t="str">
        <f t="array" ref="BY50">IF(ROWS(tblData[[#Headers],[Sorted Arr Id]]:tblData[[#This Row],[Sorted Arr Id]])-1&gt;$BY$11,"",INDEX(tblData[Sorted Arr Id],SMALL(IF(LEN(TRIM(tblData[Surname]))*(tblData[Arr DateTime]&gt;0),ROW(tblData[Sorted Arr Id])-ROW(tblData[[#Headers],[Sorted Arr Id]])),ROWS(tblData[[#Headers],[Sorted Arr Id]]:tblData[[#This Row],[Sorted Arr Id]])-1)))</f>
        <v/>
      </c>
      <c r="CA50" s="6" t="str">
        <f>IF(ROWS(tblArrivalSorted[[#Headers],[Id]]:tblArrivalSorted[[#This Row],[Id]])-1&gt;$CA$11,"",SMALL(tblArrival[Id],ROWS(tblArrivalSorted[[#Headers],[Id]]:tblArrivalSorted[[#This Row],[Id]])-1))</f>
        <v/>
      </c>
      <c r="CC50" s="6" t="str">
        <f t="array" ref="CC50">IF(ROWS(tblData[[#Headers],[Sorted Dep Id]]:tblData[[#This Row],[Sorted Dep Id]])-1&gt;$CC$11,"",INDEX(tblData[Sorted Dep Id],SMALL(IF(LEN(TRIM(tblData[Surname]))*(tblData[Dep DateTime]&gt;0),ROW(tblData[Sorted Dep Id])-ROW(tblData[[#Headers],[Sorted Dep Id]])),ROWS(tblData[[#Headers],[Sorted Dep Id]]:tblData[[#This Row],[Sorted Dep Id]])-1)))</f>
        <v/>
      </c>
      <c r="CE50" s="6" t="str">
        <f>IF(ROWS(tblDepartureSorted[[#Headers],[Id]]:tblDepartureSorted[[#This Row],[Id]])-1&gt;$CE$11,"",SMALL(tblDeparture[Id],ROWS(tblDepartureSorted[[#Headers],[Id]]:tblDepartureSorted[[#This Row],[Id]])-1))</f>
        <v/>
      </c>
      <c r="CG50" s="6" t="str">
        <f t="array" ref="CG50">IF(ROWS(tblData[[#Headers],[Id]]:tblData[[#This Row],[Id]])-1&gt;$CG$11,"",INDEX(tblData[Id],SMALL(IF(LEN(TRIM(tblData[Surname])),ROW(tblData[Id])-ROW(tblData[[#Headers],[Id]])),ROWS(tblData[[#Headers],[Id]]:tblData[[#This Row],[Id]])-1)))</f>
        <v/>
      </c>
    </row>
    <row r="51" spans="1:85" s="6" customFormat="1">
      <c r="A51" s="14">
        <f>IF(ISNUMBER(tblData[[#This Row],[SubType2]]),tblData[[#This Row],[SubType2]]*10000+tblData[[#This Row],[No]],1000000+tblData[[#This Row],[No]])</f>
        <v>1000038</v>
      </c>
      <c r="B51" s="14">
        <f>IFERROR(tblData[[#This Row],[Surname Rang]]*1000+tblData[[#This Row],[Given Name Rang]]+tblData[[#This Row],[No]]/1000,"")</f>
        <v>3.7999999999999999E-2</v>
      </c>
      <c r="C51" s="14">
        <f>IFERROR(tblData[[#This Row],[Arr DateTime Rang]]+tblData[[#This Row],[No]]/1000,"")</f>
        <v>110.038</v>
      </c>
      <c r="D51" s="14">
        <f>IFERROR(tblData[[#This Row],[Dep DateTime Rang]]+tblData[[#This Row],[No]]/1000,"")</f>
        <v>110.038</v>
      </c>
      <c r="E51" s="362">
        <f t="shared" si="1"/>
        <v>38</v>
      </c>
      <c r="F51" s="370"/>
      <c r="G51" s="331"/>
      <c r="H51" s="328"/>
      <c r="I51" s="329"/>
      <c r="J51" s="330"/>
      <c r="K51" s="369"/>
      <c r="L51" s="375"/>
      <c r="M51" s="331"/>
      <c r="N51" s="331"/>
      <c r="O51" s="331"/>
      <c r="P51" s="329"/>
      <c r="Q51" s="376"/>
      <c r="R51" s="383"/>
      <c r="S51" s="332"/>
      <c r="T51" s="331"/>
      <c r="U51" s="333"/>
      <c r="V51" s="333"/>
      <c r="W51" s="384"/>
      <c r="X51" s="383"/>
      <c r="Y51" s="332"/>
      <c r="Z51" s="331"/>
      <c r="AA51" s="331"/>
      <c r="AB51" s="333"/>
      <c r="AC51" s="384"/>
      <c r="AD51" s="375"/>
      <c r="AE51" s="369"/>
      <c r="AF51" s="397"/>
      <c r="AG51" s="328"/>
      <c r="AH51" s="328"/>
      <c r="AI51" s="328"/>
      <c r="AJ51" s="328"/>
      <c r="AK51" s="328"/>
      <c r="AL51" s="328"/>
      <c r="AM51" s="328"/>
      <c r="AN51" s="398"/>
      <c r="AO51" s="402" t="str">
        <f>IF(ISBLANK(tblData[[#This Row],[Surname]]),"",IF(tblData[[#This Row],[Bill Accred Fee]]=0,"NO","YES"))</f>
        <v/>
      </c>
      <c r="AP51" s="406">
        <f>IF(AND(NOT(ISBLANK(tblData[[#This Row],[Surname]])),COUNTA(tblData[[#This Row],[Day 1]:[Day 9]])=0),1,0)</f>
        <v>0</v>
      </c>
      <c r="AQ51" s="406">
        <f>IF(AND(NOT(ISBLANK(tblData[[#This Row],[Surname]])),tblData[[#This Row],[Position]]="Athlete"),1,0)</f>
        <v>0</v>
      </c>
      <c r="AR51" s="433">
        <f>EntryFee*tblData[[#This Row],[Entry Fee Billable]]</f>
        <v>0</v>
      </c>
      <c r="AS51" s="410" t="e">
        <f>IF(ISBLANK(SelectedCategory),"No Cat!",IF(ISBLANK($F51),0,IFERROR(VLOOKUP(AS$12&amp;", "&amp;tblData[[#This Row],[Day 1]],tblAccommodationCosts[],5,FALSE),0)+IFERROR(VLOOKUP(AS$12&amp;", "&amp;tblData[[#This Row],[Day 2]],tblAccommodationCosts[],5,FALSE),0)+IFERROR(VLOOKUP(AS$12&amp;", "&amp;tblData[[#This Row],[Day 3]],tblAccommodationCosts[],5,FALSE),0)+IFERROR(VLOOKUP(AS$12&amp;", "&amp;tblData[[#This Row],[Day 4]],tblAccommodationCosts[],5,FALSE),0)+IFERROR(VLOOKUP(AS$12&amp;", "&amp;tblData[[#This Row],[Day 5]],tblAccommodationCosts[],5,FALSE),0)+IFERROR(VLOOKUP(AS$12&amp;", "&amp;tblData[[#This Row],[Day 6]],tblAccommodationCosts[],5,FALSE),0)+IFERROR(VLOOKUP(AS$12&amp;", "&amp;tblData[[#This Row],[Day 7]],tblAccommodationCosts[],5,FALSE),0)+IFERROR(VLOOKUP(AS$12&amp;", "&amp;tblData[[#This Row],[Day 8]],tblAccommodationCosts[],5,FALSE),0)+IFERROR(VLOOKUP(AS$12&amp;", "&amp;tblData[[#This Row],[Day 9]],tblAccommodationCosts[],5,FALSE),0)+AccreditationFee*tblData[[#This Row],[Bill Accred Fee]]))+tblData[[#This Row],[Entry Fee]]</f>
        <v>#VALUE!</v>
      </c>
      <c r="AT51" s="324" t="str">
        <f>IFERROR(VLOOKUP(tblData[[#This Row],[Weight Category, Function, and Gender]],tblWeightOrFunction[],3,0),"")</f>
        <v/>
      </c>
      <c r="AU51" s="84" t="str">
        <f>IFERROR(VLOOKUP(tblData[[#This Row],[Weight Category, Function, and Gender]],tblWeightOrFunction[],4,0),"")</f>
        <v/>
      </c>
      <c r="AV51" s="85" t="str">
        <f>IFERROR(VLOOKUP(tblData[[#This Row],[Weight Category, Function, and Gender]],tblWeightOrFunction[],7,0),"")</f>
        <v/>
      </c>
      <c r="AW51" s="84" t="str">
        <f>IFERROR(VLOOKUP(tblData[[#This Row],[Weight Category, Function, and Gender]],tblWeightOrFunction[],6,0),"")</f>
        <v/>
      </c>
      <c r="AX51" s="84" t="str">
        <f>IFERROR(VLOOKUP(tblData[[#This Row],[Weight Category, Function, and Gender]],tblWeightOrFunction[],2,0),"")</f>
        <v/>
      </c>
      <c r="AY51" s="75">
        <f>tblData[[#This Row],[Arr Date]]+tblData[[#This Row],[Arr Time]]</f>
        <v>0</v>
      </c>
      <c r="AZ51" s="75">
        <f>tblData[[#This Row],[Dep Date]]+tblData[[#This Row],[Dep Time]]</f>
        <v>0</v>
      </c>
      <c r="BA51" s="72">
        <f>COUNTIF(tblData[Surname],"&lt;="&amp;tblData[Surname])</f>
        <v>0</v>
      </c>
      <c r="BB51" s="72">
        <f>COUNTIF(tblData[Given name],"&lt;="&amp;tblData[Given name])</f>
        <v>0</v>
      </c>
      <c r="BC51" s="72">
        <f>COUNTIF(tblData[Arr DateTime],"&lt;="&amp;tblData[Arr DateTime])</f>
        <v>110</v>
      </c>
      <c r="BD51" s="72">
        <f>COUNTIF(tblData[Dep DateTime],"&lt;="&amp;tblData[Dep DateTime])</f>
        <v>110</v>
      </c>
      <c r="BE51" s="72">
        <f>COUNTIF(tblData[ShuttleAtDeparture],"&lt;="&amp;tblData[ShuttleAtDeparture])</f>
        <v>0</v>
      </c>
      <c r="BI51" s="6" t="str">
        <f t="array" ref="BI51">IF(ROWS(tblData[[#Headers],[Id]]:tblData[[#This Row],[Id]])-1&gt;$BI$11,"",INDEX(tblData[Id],SMALL(IF(LEN(TRIM(tblData[Surname]))*((tblData[Type]=$BI$9)+(tblData[Type]=$BI$10)),ROW(tblData[Id])-ROW(tblData[[#Headers],[Id]])),ROWS(tblData[[#Headers],[Id]]:tblData[[#This Row],[Id]])-1)))</f>
        <v/>
      </c>
      <c r="BK51" s="6" t="str">
        <f>IF(ROWS(tblCoachesAndOfficialsSorted[[#Headers],[Id]]:tblCoachesAndOfficialsSorted[[#This Row],[Id]])-1&gt;$BK$11,"",SMALL(tblCoachesAndOfficials[Id],ROWS(tblCoachesAndOfficialsSorted[[#Headers],[Id]]:tblCoachesAndOfficialsSorted[[#This Row],[Id]])-1))</f>
        <v/>
      </c>
      <c r="BM51" s="6" t="str">
        <f t="array" ref="BM51">IF(ROWS(tblData[[#Headers],[Id]]:tblData[[#This Row],[Id]])-1&gt;$BM$11,"",INDEX(tblData[Id],SMALL(IF(LEN(TRIM(tblData[Surname]))*(tblData[Type]=$BM$9),ROW(tblData[Id])-ROW(tblData[[#Headers],[Id]])),ROWS(tblData[[#Headers],[Id]]:tblData[[#This Row],[Id]])-1)))</f>
        <v/>
      </c>
      <c r="BO51" s="6" t="str">
        <f>IF(ROWS(tblWomenSorted[[#Headers],[Id]]:tblWomenSorted[[#This Row],[Id]])-1&gt;$BO$11,"",SMALL(tblWomen[Id],ROWS(tblWomenSorted[[#Headers],[Id]]:tblWomenSorted[[#This Row],[Id]])-1))</f>
        <v/>
      </c>
      <c r="BP51" s="17"/>
      <c r="BQ51" s="6" t="str">
        <f t="array" ref="BQ51">IF(ROWS(tblData[[#Headers],[Id]]:tblData[[#This Row],[Id]])-1&gt;$BQ$11,"",INDEX(tblData[Id],SMALL(IF(LEN(TRIM(tblData[Surname]))*(tblData[Type]=$BQ$9),ROW(tblData[Id])-ROW(tblData[[#Headers],[Id]])),ROWS(tblData[[#Headers],[Id]]:tblData[[#This Row],[Id]])-1)))</f>
        <v/>
      </c>
      <c r="BS51" s="6" t="str">
        <f>IF(ROWS(tblMenSorted[[#Headers],[Id]]:tblMenSorted[[#This Row],[Id]])-1&gt;$BS$11,"",SMALL(tblMen[Id],ROWS(tblMenSorted[[#Headers],[Id]]:tblMenSorted[[#This Row],[Id]])-1))</f>
        <v/>
      </c>
      <c r="BU51" s="6" t="str">
        <f t="array" ref="BU51">IF(ROWS(tblData[[#Headers],[Sorted Name Id]]:tblData[[#This Row],[Sorted Name Id]])-1&gt;$BU$11,"",INDEX(tblData[Sorted Name Id],SMALL(IF(LEN(TRIM(tblData[Surname]))*(tblData[Visa required]="YES"),ROW(tblData[Sorted Name Id])-ROW(tblData[[#Headers],[Sorted Name Id]])),ROWS(tblData[[#Headers],[Sorted Name Id]]:tblData[[#This Row],[Sorted Name Id]])-1)))</f>
        <v/>
      </c>
      <c r="BW51" s="6" t="str">
        <f>IF(ROWS(tblVisasSorted[[#Headers],[Id]]:tblVisasSorted[[#This Row],[Id]])-1&gt;$BW$11,"",SMALL(tblVisas[Id],ROWS(tblVisasSorted[[#Headers],[Id]]:tblVisasSorted[[#This Row],[Id]])-1))</f>
        <v/>
      </c>
      <c r="BY51" s="6" t="str">
        <f t="array" ref="BY51">IF(ROWS(tblData[[#Headers],[Sorted Arr Id]]:tblData[[#This Row],[Sorted Arr Id]])-1&gt;$BY$11,"",INDEX(tblData[Sorted Arr Id],SMALL(IF(LEN(TRIM(tblData[Surname]))*(tblData[Arr DateTime]&gt;0),ROW(tblData[Sorted Arr Id])-ROW(tblData[[#Headers],[Sorted Arr Id]])),ROWS(tblData[[#Headers],[Sorted Arr Id]]:tblData[[#This Row],[Sorted Arr Id]])-1)))</f>
        <v/>
      </c>
      <c r="CA51" s="6" t="str">
        <f>IF(ROWS(tblArrivalSorted[[#Headers],[Id]]:tblArrivalSorted[[#This Row],[Id]])-1&gt;$CA$11,"",SMALL(tblArrival[Id],ROWS(tblArrivalSorted[[#Headers],[Id]]:tblArrivalSorted[[#This Row],[Id]])-1))</f>
        <v/>
      </c>
      <c r="CC51" s="6" t="str">
        <f t="array" ref="CC51">IF(ROWS(tblData[[#Headers],[Sorted Dep Id]]:tblData[[#This Row],[Sorted Dep Id]])-1&gt;$CC$11,"",INDEX(tblData[Sorted Dep Id],SMALL(IF(LEN(TRIM(tblData[Surname]))*(tblData[Dep DateTime]&gt;0),ROW(tblData[Sorted Dep Id])-ROW(tblData[[#Headers],[Sorted Dep Id]])),ROWS(tblData[[#Headers],[Sorted Dep Id]]:tblData[[#This Row],[Sorted Dep Id]])-1)))</f>
        <v/>
      </c>
      <c r="CE51" s="6" t="str">
        <f>IF(ROWS(tblDepartureSorted[[#Headers],[Id]]:tblDepartureSorted[[#This Row],[Id]])-1&gt;$CE$11,"",SMALL(tblDeparture[Id],ROWS(tblDepartureSorted[[#Headers],[Id]]:tblDepartureSorted[[#This Row],[Id]])-1))</f>
        <v/>
      </c>
      <c r="CG51" s="6" t="str">
        <f t="array" ref="CG51">IF(ROWS(tblData[[#Headers],[Id]]:tblData[[#This Row],[Id]])-1&gt;$CG$11,"",INDEX(tblData[Id],SMALL(IF(LEN(TRIM(tblData[Surname])),ROW(tblData[Id])-ROW(tblData[[#Headers],[Id]])),ROWS(tblData[[#Headers],[Id]]:tblData[[#This Row],[Id]])-1)))</f>
        <v/>
      </c>
    </row>
    <row r="52" spans="1:85" s="6" customFormat="1">
      <c r="A52" s="14">
        <f>IF(ISNUMBER(tblData[[#This Row],[SubType2]]),tblData[[#This Row],[SubType2]]*10000+tblData[[#This Row],[No]],1000000+tblData[[#This Row],[No]])</f>
        <v>1000039</v>
      </c>
      <c r="B52" s="14">
        <f>IFERROR(tblData[[#This Row],[Surname Rang]]*1000+tblData[[#This Row],[Given Name Rang]]+tblData[[#This Row],[No]]/1000,"")</f>
        <v>3.9E-2</v>
      </c>
      <c r="C52" s="14">
        <f>IFERROR(tblData[[#This Row],[Arr DateTime Rang]]+tblData[[#This Row],[No]]/1000,"")</f>
        <v>110.039</v>
      </c>
      <c r="D52" s="14">
        <f>IFERROR(tblData[[#This Row],[Dep DateTime Rang]]+tblData[[#This Row],[No]]/1000,"")</f>
        <v>110.039</v>
      </c>
      <c r="E52" s="362">
        <f t="shared" si="1"/>
        <v>39</v>
      </c>
      <c r="F52" s="370"/>
      <c r="G52" s="331"/>
      <c r="H52" s="328"/>
      <c r="I52" s="329"/>
      <c r="J52" s="330"/>
      <c r="K52" s="369"/>
      <c r="L52" s="375"/>
      <c r="M52" s="331"/>
      <c r="N52" s="331"/>
      <c r="O52" s="331"/>
      <c r="P52" s="329"/>
      <c r="Q52" s="376"/>
      <c r="R52" s="383"/>
      <c r="S52" s="332"/>
      <c r="T52" s="331"/>
      <c r="U52" s="333"/>
      <c r="V52" s="333"/>
      <c r="W52" s="384"/>
      <c r="X52" s="383"/>
      <c r="Y52" s="332"/>
      <c r="Z52" s="331"/>
      <c r="AA52" s="331"/>
      <c r="AB52" s="333"/>
      <c r="AC52" s="384"/>
      <c r="AD52" s="375"/>
      <c r="AE52" s="369"/>
      <c r="AF52" s="397"/>
      <c r="AG52" s="328"/>
      <c r="AH52" s="328"/>
      <c r="AI52" s="328"/>
      <c r="AJ52" s="328"/>
      <c r="AK52" s="328"/>
      <c r="AL52" s="328"/>
      <c r="AM52" s="328"/>
      <c r="AN52" s="398"/>
      <c r="AO52" s="402" t="str">
        <f>IF(ISBLANK(tblData[[#This Row],[Surname]]),"",IF(tblData[[#This Row],[Bill Accred Fee]]=0,"NO","YES"))</f>
        <v/>
      </c>
      <c r="AP52" s="406">
        <f>IF(AND(NOT(ISBLANK(tblData[[#This Row],[Surname]])),COUNTA(tblData[[#This Row],[Day 1]:[Day 9]])=0),1,0)</f>
        <v>0</v>
      </c>
      <c r="AQ52" s="406">
        <f>IF(AND(NOT(ISBLANK(tblData[[#This Row],[Surname]])),tblData[[#This Row],[Position]]="Athlete"),1,0)</f>
        <v>0</v>
      </c>
      <c r="AR52" s="433">
        <f>EntryFee*tblData[[#This Row],[Entry Fee Billable]]</f>
        <v>0</v>
      </c>
      <c r="AS52" s="410" t="e">
        <f>IF(ISBLANK(SelectedCategory),"No Cat!",IF(ISBLANK($F52),0,IFERROR(VLOOKUP(AS$12&amp;", "&amp;tblData[[#This Row],[Day 1]],tblAccommodationCosts[],5,FALSE),0)+IFERROR(VLOOKUP(AS$12&amp;", "&amp;tblData[[#This Row],[Day 2]],tblAccommodationCosts[],5,FALSE),0)+IFERROR(VLOOKUP(AS$12&amp;", "&amp;tblData[[#This Row],[Day 3]],tblAccommodationCosts[],5,FALSE),0)+IFERROR(VLOOKUP(AS$12&amp;", "&amp;tblData[[#This Row],[Day 4]],tblAccommodationCosts[],5,FALSE),0)+IFERROR(VLOOKUP(AS$12&amp;", "&amp;tblData[[#This Row],[Day 5]],tblAccommodationCosts[],5,FALSE),0)+IFERROR(VLOOKUP(AS$12&amp;", "&amp;tblData[[#This Row],[Day 6]],tblAccommodationCosts[],5,FALSE),0)+IFERROR(VLOOKUP(AS$12&amp;", "&amp;tblData[[#This Row],[Day 7]],tblAccommodationCosts[],5,FALSE),0)+IFERROR(VLOOKUP(AS$12&amp;", "&amp;tblData[[#This Row],[Day 8]],tblAccommodationCosts[],5,FALSE),0)+IFERROR(VLOOKUP(AS$12&amp;", "&amp;tblData[[#This Row],[Day 9]],tblAccommodationCosts[],5,FALSE),0)+AccreditationFee*tblData[[#This Row],[Bill Accred Fee]]))+tblData[[#This Row],[Entry Fee]]</f>
        <v>#VALUE!</v>
      </c>
      <c r="AT52" s="324" t="str">
        <f>IFERROR(VLOOKUP(tblData[[#This Row],[Weight Category, Function, and Gender]],tblWeightOrFunction[],3,0),"")</f>
        <v/>
      </c>
      <c r="AU52" s="84" t="str">
        <f>IFERROR(VLOOKUP(tblData[[#This Row],[Weight Category, Function, and Gender]],tblWeightOrFunction[],4,0),"")</f>
        <v/>
      </c>
      <c r="AV52" s="85" t="str">
        <f>IFERROR(VLOOKUP(tblData[[#This Row],[Weight Category, Function, and Gender]],tblWeightOrFunction[],7,0),"")</f>
        <v/>
      </c>
      <c r="AW52" s="84" t="str">
        <f>IFERROR(VLOOKUP(tblData[[#This Row],[Weight Category, Function, and Gender]],tblWeightOrFunction[],6,0),"")</f>
        <v/>
      </c>
      <c r="AX52" s="86" t="str">
        <f>IFERROR(VLOOKUP(tblData[[#This Row],[Weight Category, Function, and Gender]],tblWeightOrFunction[],2,0),"")</f>
        <v/>
      </c>
      <c r="AY52" s="75">
        <f>tblData[[#This Row],[Arr Date]]+tblData[[#This Row],[Arr Time]]</f>
        <v>0</v>
      </c>
      <c r="AZ52" s="75">
        <f>tblData[[#This Row],[Dep Date]]+tblData[[#This Row],[Dep Time]]</f>
        <v>0</v>
      </c>
      <c r="BA52" s="72">
        <f>COUNTIF(tblData[Surname],"&lt;="&amp;tblData[Surname])</f>
        <v>0</v>
      </c>
      <c r="BB52" s="72">
        <f>COUNTIF(tblData[Given name],"&lt;="&amp;tblData[Given name])</f>
        <v>0</v>
      </c>
      <c r="BC52" s="72">
        <f>COUNTIF(tblData[Arr DateTime],"&lt;="&amp;tblData[Arr DateTime])</f>
        <v>110</v>
      </c>
      <c r="BD52" s="72">
        <f>COUNTIF(tblData[Dep DateTime],"&lt;="&amp;tblData[Dep DateTime])</f>
        <v>110</v>
      </c>
      <c r="BE52" s="72">
        <f>COUNTIF(tblData[ShuttleAtDeparture],"&lt;="&amp;tblData[ShuttleAtDeparture])</f>
        <v>0</v>
      </c>
      <c r="BI52" s="6" t="str">
        <f t="array" ref="BI52">IF(ROWS(tblData[[#Headers],[Id]]:tblData[[#This Row],[Id]])-1&gt;$BI$11,"",INDEX(tblData[Id],SMALL(IF(LEN(TRIM(tblData[Surname]))*((tblData[Type]=$BI$9)+(tblData[Type]=$BI$10)),ROW(tblData[Id])-ROW(tblData[[#Headers],[Id]])),ROWS(tblData[[#Headers],[Id]]:tblData[[#This Row],[Id]])-1)))</f>
        <v/>
      </c>
      <c r="BK52" s="6" t="str">
        <f>IF(ROWS(tblCoachesAndOfficialsSorted[[#Headers],[Id]]:tblCoachesAndOfficialsSorted[[#This Row],[Id]])-1&gt;$BK$11,"",SMALL(tblCoachesAndOfficials[Id],ROWS(tblCoachesAndOfficialsSorted[[#Headers],[Id]]:tblCoachesAndOfficialsSorted[[#This Row],[Id]])-1))</f>
        <v/>
      </c>
      <c r="BM52" s="6" t="str">
        <f t="array" ref="BM52">IF(ROWS(tblData[[#Headers],[Id]]:tblData[[#This Row],[Id]])-1&gt;$BM$11,"",INDEX(tblData[Id],SMALL(IF(LEN(TRIM(tblData[Surname]))*(tblData[Type]=$BM$9),ROW(tblData[Id])-ROW(tblData[[#Headers],[Id]])),ROWS(tblData[[#Headers],[Id]]:tblData[[#This Row],[Id]])-1)))</f>
        <v/>
      </c>
      <c r="BO52" s="6" t="str">
        <f>IF(ROWS(tblWomenSorted[[#Headers],[Id]]:tblWomenSorted[[#This Row],[Id]])-1&gt;$BO$11,"",SMALL(tblWomen[Id],ROWS(tblWomenSorted[[#Headers],[Id]]:tblWomenSorted[[#This Row],[Id]])-1))</f>
        <v/>
      </c>
      <c r="BP52" s="17"/>
      <c r="BQ52" s="6" t="str">
        <f t="array" ref="BQ52">IF(ROWS(tblData[[#Headers],[Id]]:tblData[[#This Row],[Id]])-1&gt;$BQ$11,"",INDEX(tblData[Id],SMALL(IF(LEN(TRIM(tblData[Surname]))*(tblData[Type]=$BQ$9),ROW(tblData[Id])-ROW(tblData[[#Headers],[Id]])),ROWS(tblData[[#Headers],[Id]]:tblData[[#This Row],[Id]])-1)))</f>
        <v/>
      </c>
      <c r="BS52" s="6" t="str">
        <f>IF(ROWS(tblMenSorted[[#Headers],[Id]]:tblMenSorted[[#This Row],[Id]])-1&gt;$BS$11,"",SMALL(tblMen[Id],ROWS(tblMenSorted[[#Headers],[Id]]:tblMenSorted[[#This Row],[Id]])-1))</f>
        <v/>
      </c>
      <c r="BU52" s="6" t="str">
        <f t="array" ref="BU52">IF(ROWS(tblData[[#Headers],[Sorted Name Id]]:tblData[[#This Row],[Sorted Name Id]])-1&gt;$BU$11,"",INDEX(tblData[Sorted Name Id],SMALL(IF(LEN(TRIM(tblData[Surname]))*(tblData[Visa required]="YES"),ROW(tblData[Sorted Name Id])-ROW(tblData[[#Headers],[Sorted Name Id]])),ROWS(tblData[[#Headers],[Sorted Name Id]]:tblData[[#This Row],[Sorted Name Id]])-1)))</f>
        <v/>
      </c>
      <c r="BW52" s="6" t="str">
        <f>IF(ROWS(tblVisasSorted[[#Headers],[Id]]:tblVisasSorted[[#This Row],[Id]])-1&gt;$BW$11,"",SMALL(tblVisas[Id],ROWS(tblVisasSorted[[#Headers],[Id]]:tblVisasSorted[[#This Row],[Id]])-1))</f>
        <v/>
      </c>
      <c r="BY52" s="6" t="str">
        <f t="array" ref="BY52">IF(ROWS(tblData[[#Headers],[Sorted Arr Id]]:tblData[[#This Row],[Sorted Arr Id]])-1&gt;$BY$11,"",INDEX(tblData[Sorted Arr Id],SMALL(IF(LEN(TRIM(tblData[Surname]))*(tblData[Arr DateTime]&gt;0),ROW(tblData[Sorted Arr Id])-ROW(tblData[[#Headers],[Sorted Arr Id]])),ROWS(tblData[[#Headers],[Sorted Arr Id]]:tblData[[#This Row],[Sorted Arr Id]])-1)))</f>
        <v/>
      </c>
      <c r="CA52" s="6" t="str">
        <f>IF(ROWS(tblArrivalSorted[[#Headers],[Id]]:tblArrivalSorted[[#This Row],[Id]])-1&gt;$CA$11,"",SMALL(tblArrival[Id],ROWS(tblArrivalSorted[[#Headers],[Id]]:tblArrivalSorted[[#This Row],[Id]])-1))</f>
        <v/>
      </c>
      <c r="CC52" s="6" t="str">
        <f t="array" ref="CC52">IF(ROWS(tblData[[#Headers],[Sorted Dep Id]]:tblData[[#This Row],[Sorted Dep Id]])-1&gt;$CC$11,"",INDEX(tblData[Sorted Dep Id],SMALL(IF(LEN(TRIM(tblData[Surname]))*(tblData[Dep DateTime]&gt;0),ROW(tblData[Sorted Dep Id])-ROW(tblData[[#Headers],[Sorted Dep Id]])),ROWS(tblData[[#Headers],[Sorted Dep Id]]:tblData[[#This Row],[Sorted Dep Id]])-1)))</f>
        <v/>
      </c>
      <c r="CE52" s="6" t="str">
        <f>IF(ROWS(tblDepartureSorted[[#Headers],[Id]]:tblDepartureSorted[[#This Row],[Id]])-1&gt;$CE$11,"",SMALL(tblDeparture[Id],ROWS(tblDepartureSorted[[#Headers],[Id]]:tblDepartureSorted[[#This Row],[Id]])-1))</f>
        <v/>
      </c>
      <c r="CG52" s="6" t="str">
        <f t="array" ref="CG52">IF(ROWS(tblData[[#Headers],[Id]]:tblData[[#This Row],[Id]])-1&gt;$CG$11,"",INDEX(tblData[Id],SMALL(IF(LEN(TRIM(tblData[Surname])),ROW(tblData[Id])-ROW(tblData[[#Headers],[Id]])),ROWS(tblData[[#Headers],[Id]]:tblData[[#This Row],[Id]])-1)))</f>
        <v/>
      </c>
    </row>
    <row r="53" spans="1:85" s="6" customFormat="1">
      <c r="A53" s="14">
        <f>IF(ISNUMBER(tblData[[#This Row],[SubType2]]),tblData[[#This Row],[SubType2]]*10000+tblData[[#This Row],[No]],1000000+tblData[[#This Row],[No]])</f>
        <v>1000040</v>
      </c>
      <c r="B53" s="14">
        <f>IFERROR(tblData[[#This Row],[Surname Rang]]*1000+tblData[[#This Row],[Given Name Rang]]+tblData[[#This Row],[No]]/1000,"")</f>
        <v>0.04</v>
      </c>
      <c r="C53" s="14">
        <f>IFERROR(tblData[[#This Row],[Arr DateTime Rang]]+tblData[[#This Row],[No]]/1000,"")</f>
        <v>110.04</v>
      </c>
      <c r="D53" s="14">
        <f>IFERROR(tblData[[#This Row],[Dep DateTime Rang]]+tblData[[#This Row],[No]]/1000,"")</f>
        <v>110.04</v>
      </c>
      <c r="E53" s="362">
        <f t="shared" si="1"/>
        <v>40</v>
      </c>
      <c r="F53" s="370"/>
      <c r="G53" s="331"/>
      <c r="H53" s="328"/>
      <c r="I53" s="329"/>
      <c r="J53" s="330"/>
      <c r="K53" s="369"/>
      <c r="L53" s="375"/>
      <c r="M53" s="331"/>
      <c r="N53" s="331"/>
      <c r="O53" s="331"/>
      <c r="P53" s="329"/>
      <c r="Q53" s="376"/>
      <c r="R53" s="383"/>
      <c r="S53" s="332"/>
      <c r="T53" s="331"/>
      <c r="U53" s="333"/>
      <c r="V53" s="333"/>
      <c r="W53" s="384"/>
      <c r="X53" s="383"/>
      <c r="Y53" s="332"/>
      <c r="Z53" s="331"/>
      <c r="AA53" s="331"/>
      <c r="AB53" s="333"/>
      <c r="AC53" s="384"/>
      <c r="AD53" s="375"/>
      <c r="AE53" s="369"/>
      <c r="AF53" s="397"/>
      <c r="AG53" s="328"/>
      <c r="AH53" s="328"/>
      <c r="AI53" s="328"/>
      <c r="AJ53" s="328"/>
      <c r="AK53" s="328"/>
      <c r="AL53" s="328"/>
      <c r="AM53" s="328"/>
      <c r="AN53" s="398"/>
      <c r="AO53" s="402" t="str">
        <f>IF(ISBLANK(tblData[[#This Row],[Surname]]),"",IF(tblData[[#This Row],[Bill Accred Fee]]=0,"NO","YES"))</f>
        <v/>
      </c>
      <c r="AP53" s="406">
        <f>IF(AND(NOT(ISBLANK(tblData[[#This Row],[Surname]])),COUNTA(tblData[[#This Row],[Day 1]:[Day 9]])=0),1,0)</f>
        <v>0</v>
      </c>
      <c r="AQ53" s="406">
        <f>IF(AND(NOT(ISBLANK(tblData[[#This Row],[Surname]])),tblData[[#This Row],[Position]]="Athlete"),1,0)</f>
        <v>0</v>
      </c>
      <c r="AR53" s="433">
        <f>EntryFee*tblData[[#This Row],[Entry Fee Billable]]</f>
        <v>0</v>
      </c>
      <c r="AS53" s="410" t="e">
        <f>IF(ISBLANK(SelectedCategory),"No Cat!",IF(ISBLANK($F53),0,IFERROR(VLOOKUP(AS$12&amp;", "&amp;tblData[[#This Row],[Day 1]],tblAccommodationCosts[],5,FALSE),0)+IFERROR(VLOOKUP(AS$12&amp;", "&amp;tblData[[#This Row],[Day 2]],tblAccommodationCosts[],5,FALSE),0)+IFERROR(VLOOKUP(AS$12&amp;", "&amp;tblData[[#This Row],[Day 3]],tblAccommodationCosts[],5,FALSE),0)+IFERROR(VLOOKUP(AS$12&amp;", "&amp;tblData[[#This Row],[Day 4]],tblAccommodationCosts[],5,FALSE),0)+IFERROR(VLOOKUP(AS$12&amp;", "&amp;tblData[[#This Row],[Day 5]],tblAccommodationCosts[],5,FALSE),0)+IFERROR(VLOOKUP(AS$12&amp;", "&amp;tblData[[#This Row],[Day 6]],tblAccommodationCosts[],5,FALSE),0)+IFERROR(VLOOKUP(AS$12&amp;", "&amp;tblData[[#This Row],[Day 7]],tblAccommodationCosts[],5,FALSE),0)+IFERROR(VLOOKUP(AS$12&amp;", "&amp;tblData[[#This Row],[Day 8]],tblAccommodationCosts[],5,FALSE),0)+IFERROR(VLOOKUP(AS$12&amp;", "&amp;tblData[[#This Row],[Day 9]],tblAccommodationCosts[],5,FALSE),0)+AccreditationFee*tblData[[#This Row],[Bill Accred Fee]]))+tblData[[#This Row],[Entry Fee]]</f>
        <v>#VALUE!</v>
      </c>
      <c r="AT53" s="324" t="str">
        <f>IFERROR(VLOOKUP(tblData[[#This Row],[Weight Category, Function, and Gender]],tblWeightOrFunction[],3,0),"")</f>
        <v/>
      </c>
      <c r="AU53" s="84" t="str">
        <f>IFERROR(VLOOKUP(tblData[[#This Row],[Weight Category, Function, and Gender]],tblWeightOrFunction[],4,0),"")</f>
        <v/>
      </c>
      <c r="AV53" s="85" t="str">
        <f>IFERROR(VLOOKUP(tblData[[#This Row],[Weight Category, Function, and Gender]],tblWeightOrFunction[],7,0),"")</f>
        <v/>
      </c>
      <c r="AW53" s="87" t="str">
        <f>IFERROR(VLOOKUP(tblData[[#This Row],[Weight Category, Function, and Gender]],tblWeightOrFunction[],6,0),"")</f>
        <v/>
      </c>
      <c r="AX53" s="87" t="str">
        <f>IFERROR(VLOOKUP(tblData[[#This Row],[Weight Category, Function, and Gender]],tblWeightOrFunction[],2,0),"")</f>
        <v/>
      </c>
      <c r="AY53" s="75">
        <f>tblData[[#This Row],[Arr Date]]+tblData[[#This Row],[Arr Time]]</f>
        <v>0</v>
      </c>
      <c r="AZ53" s="75">
        <f>tblData[[#This Row],[Dep Date]]+tblData[[#This Row],[Dep Time]]</f>
        <v>0</v>
      </c>
      <c r="BA53" s="72">
        <f>COUNTIF(tblData[Surname],"&lt;="&amp;tblData[Surname])</f>
        <v>0</v>
      </c>
      <c r="BB53" s="72">
        <f>COUNTIF(tblData[Given name],"&lt;="&amp;tblData[Given name])</f>
        <v>0</v>
      </c>
      <c r="BC53" s="72">
        <f>COUNTIF(tblData[Arr DateTime],"&lt;="&amp;tblData[Arr DateTime])</f>
        <v>110</v>
      </c>
      <c r="BD53" s="72">
        <f>COUNTIF(tblData[Dep DateTime],"&lt;="&amp;tblData[Dep DateTime])</f>
        <v>110</v>
      </c>
      <c r="BE53" s="72">
        <f>COUNTIF(tblData[ShuttleAtDeparture],"&lt;="&amp;tblData[ShuttleAtDeparture])</f>
        <v>0</v>
      </c>
      <c r="BI53" s="6" t="str">
        <f t="array" ref="BI53">IF(ROWS(tblData[[#Headers],[Id]]:tblData[[#This Row],[Id]])-1&gt;$BI$11,"",INDEX(tblData[Id],SMALL(IF(LEN(TRIM(tblData[Surname]))*((tblData[Type]=$BI$9)+(tblData[Type]=$BI$10)),ROW(tblData[Id])-ROW(tblData[[#Headers],[Id]])),ROWS(tblData[[#Headers],[Id]]:tblData[[#This Row],[Id]])-1)))</f>
        <v/>
      </c>
      <c r="BK53" s="6" t="str">
        <f>IF(ROWS(tblCoachesAndOfficialsSorted[[#Headers],[Id]]:tblCoachesAndOfficialsSorted[[#This Row],[Id]])-1&gt;$BK$11,"",SMALL(tblCoachesAndOfficials[Id],ROWS(tblCoachesAndOfficialsSorted[[#Headers],[Id]]:tblCoachesAndOfficialsSorted[[#This Row],[Id]])-1))</f>
        <v/>
      </c>
      <c r="BM53" s="6" t="str">
        <f t="array" ref="BM53">IF(ROWS(tblData[[#Headers],[Id]]:tblData[[#This Row],[Id]])-1&gt;$BM$11,"",INDEX(tblData[Id],SMALL(IF(LEN(TRIM(tblData[Surname]))*(tblData[Type]=$BM$9),ROW(tblData[Id])-ROW(tblData[[#Headers],[Id]])),ROWS(tblData[[#Headers],[Id]]:tblData[[#This Row],[Id]])-1)))</f>
        <v/>
      </c>
      <c r="BO53" s="6" t="str">
        <f>IF(ROWS(tblWomenSorted[[#Headers],[Id]]:tblWomenSorted[[#This Row],[Id]])-1&gt;$BO$11,"",SMALL(tblWomen[Id],ROWS(tblWomenSorted[[#Headers],[Id]]:tblWomenSorted[[#This Row],[Id]])-1))</f>
        <v/>
      </c>
      <c r="BP53" s="17"/>
      <c r="BQ53" s="6" t="str">
        <f t="array" ref="BQ53">IF(ROWS(tblData[[#Headers],[Id]]:tblData[[#This Row],[Id]])-1&gt;$BQ$11,"",INDEX(tblData[Id],SMALL(IF(LEN(TRIM(tblData[Surname]))*(tblData[Type]=$BQ$9),ROW(tblData[Id])-ROW(tblData[[#Headers],[Id]])),ROWS(tblData[[#Headers],[Id]]:tblData[[#This Row],[Id]])-1)))</f>
        <v/>
      </c>
      <c r="BS53" s="6" t="str">
        <f>IF(ROWS(tblMenSorted[[#Headers],[Id]]:tblMenSorted[[#This Row],[Id]])-1&gt;$BS$11,"",SMALL(tblMen[Id],ROWS(tblMenSorted[[#Headers],[Id]]:tblMenSorted[[#This Row],[Id]])-1))</f>
        <v/>
      </c>
      <c r="BU53" s="6" t="str">
        <f t="array" ref="BU53">IF(ROWS(tblData[[#Headers],[Sorted Name Id]]:tblData[[#This Row],[Sorted Name Id]])-1&gt;$BU$11,"",INDEX(tblData[Sorted Name Id],SMALL(IF(LEN(TRIM(tblData[Surname]))*(tblData[Visa required]="YES"),ROW(tblData[Sorted Name Id])-ROW(tblData[[#Headers],[Sorted Name Id]])),ROWS(tblData[[#Headers],[Sorted Name Id]]:tblData[[#This Row],[Sorted Name Id]])-1)))</f>
        <v/>
      </c>
      <c r="BW53" s="6" t="str">
        <f>IF(ROWS(tblVisasSorted[[#Headers],[Id]]:tblVisasSorted[[#This Row],[Id]])-1&gt;$BW$11,"",SMALL(tblVisas[Id],ROWS(tblVisasSorted[[#Headers],[Id]]:tblVisasSorted[[#This Row],[Id]])-1))</f>
        <v/>
      </c>
      <c r="BY53" s="6" t="str">
        <f t="array" ref="BY53">IF(ROWS(tblData[[#Headers],[Sorted Arr Id]]:tblData[[#This Row],[Sorted Arr Id]])-1&gt;$BY$11,"",INDEX(tblData[Sorted Arr Id],SMALL(IF(LEN(TRIM(tblData[Surname]))*(tblData[Arr DateTime]&gt;0),ROW(tblData[Sorted Arr Id])-ROW(tblData[[#Headers],[Sorted Arr Id]])),ROWS(tblData[[#Headers],[Sorted Arr Id]]:tblData[[#This Row],[Sorted Arr Id]])-1)))</f>
        <v/>
      </c>
      <c r="CA53" s="6" t="str">
        <f>IF(ROWS(tblArrivalSorted[[#Headers],[Id]]:tblArrivalSorted[[#This Row],[Id]])-1&gt;$CA$11,"",SMALL(tblArrival[Id],ROWS(tblArrivalSorted[[#Headers],[Id]]:tblArrivalSorted[[#This Row],[Id]])-1))</f>
        <v/>
      </c>
      <c r="CC53" s="6" t="str">
        <f t="array" ref="CC53">IF(ROWS(tblData[[#Headers],[Sorted Dep Id]]:tblData[[#This Row],[Sorted Dep Id]])-1&gt;$CC$11,"",INDEX(tblData[Sorted Dep Id],SMALL(IF(LEN(TRIM(tblData[Surname]))*(tblData[Dep DateTime]&gt;0),ROW(tblData[Sorted Dep Id])-ROW(tblData[[#Headers],[Sorted Dep Id]])),ROWS(tblData[[#Headers],[Sorted Dep Id]]:tblData[[#This Row],[Sorted Dep Id]])-1)))</f>
        <v/>
      </c>
      <c r="CE53" s="6" t="str">
        <f>IF(ROWS(tblDepartureSorted[[#Headers],[Id]]:tblDepartureSorted[[#This Row],[Id]])-1&gt;$CE$11,"",SMALL(tblDeparture[Id],ROWS(tblDepartureSorted[[#Headers],[Id]]:tblDepartureSorted[[#This Row],[Id]])-1))</f>
        <v/>
      </c>
      <c r="CG53" s="6" t="str">
        <f t="array" ref="CG53">IF(ROWS(tblData[[#Headers],[Id]]:tblData[[#This Row],[Id]])-1&gt;$CG$11,"",INDEX(tblData[Id],SMALL(IF(LEN(TRIM(tblData[Surname])),ROW(tblData[Id])-ROW(tblData[[#Headers],[Id]])),ROWS(tblData[[#Headers],[Id]]:tblData[[#This Row],[Id]])-1)))</f>
        <v/>
      </c>
    </row>
    <row r="54" spans="1:85" s="6" customFormat="1">
      <c r="A54" s="14">
        <f>IF(ISNUMBER(tblData[[#This Row],[SubType2]]),tblData[[#This Row],[SubType2]]*10000+tblData[[#This Row],[No]],1000000+tblData[[#This Row],[No]])</f>
        <v>1000041</v>
      </c>
      <c r="B54" s="14">
        <f>IFERROR(tblData[[#This Row],[Surname Rang]]*1000+tblData[[#This Row],[Given Name Rang]]+tblData[[#This Row],[No]]/1000,"")</f>
        <v>4.1000000000000002E-2</v>
      </c>
      <c r="C54" s="14">
        <f>IFERROR(tblData[[#This Row],[Arr DateTime Rang]]+tblData[[#This Row],[No]]/1000,"")</f>
        <v>110.041</v>
      </c>
      <c r="D54" s="14">
        <f>IFERROR(tblData[[#This Row],[Dep DateTime Rang]]+tblData[[#This Row],[No]]/1000,"")</f>
        <v>110.041</v>
      </c>
      <c r="E54" s="362">
        <f t="shared" si="1"/>
        <v>41</v>
      </c>
      <c r="F54" s="370"/>
      <c r="G54" s="331"/>
      <c r="H54" s="328"/>
      <c r="I54" s="329"/>
      <c r="J54" s="330"/>
      <c r="K54" s="369"/>
      <c r="L54" s="375"/>
      <c r="M54" s="331"/>
      <c r="N54" s="331"/>
      <c r="O54" s="331"/>
      <c r="P54" s="329"/>
      <c r="Q54" s="376"/>
      <c r="R54" s="383"/>
      <c r="S54" s="332"/>
      <c r="T54" s="331"/>
      <c r="U54" s="333"/>
      <c r="V54" s="333"/>
      <c r="W54" s="384"/>
      <c r="X54" s="383"/>
      <c r="Y54" s="332"/>
      <c r="Z54" s="331"/>
      <c r="AA54" s="331"/>
      <c r="AB54" s="333"/>
      <c r="AC54" s="384"/>
      <c r="AD54" s="375"/>
      <c r="AE54" s="369"/>
      <c r="AF54" s="397"/>
      <c r="AG54" s="328"/>
      <c r="AH54" s="328"/>
      <c r="AI54" s="328"/>
      <c r="AJ54" s="328"/>
      <c r="AK54" s="328"/>
      <c r="AL54" s="328"/>
      <c r="AM54" s="328"/>
      <c r="AN54" s="398"/>
      <c r="AO54" s="402" t="str">
        <f>IF(ISBLANK(tblData[[#This Row],[Surname]]),"",IF(tblData[[#This Row],[Bill Accred Fee]]=0,"NO","YES"))</f>
        <v/>
      </c>
      <c r="AP54" s="406">
        <f>IF(AND(NOT(ISBLANK(tblData[[#This Row],[Surname]])),COUNTA(tblData[[#This Row],[Day 1]:[Day 9]])=0),1,0)</f>
        <v>0</v>
      </c>
      <c r="AQ54" s="406">
        <f>IF(AND(NOT(ISBLANK(tblData[[#This Row],[Surname]])),tblData[[#This Row],[Position]]="Athlete"),1,0)</f>
        <v>0</v>
      </c>
      <c r="AR54" s="433">
        <f>EntryFee*tblData[[#This Row],[Entry Fee Billable]]</f>
        <v>0</v>
      </c>
      <c r="AS54" s="410" t="e">
        <f>IF(ISBLANK(SelectedCategory),"No Cat!",IF(ISBLANK($F54),0,IFERROR(VLOOKUP(AS$12&amp;", "&amp;tblData[[#This Row],[Day 1]],tblAccommodationCosts[],5,FALSE),0)+IFERROR(VLOOKUP(AS$12&amp;", "&amp;tblData[[#This Row],[Day 2]],tblAccommodationCosts[],5,FALSE),0)+IFERROR(VLOOKUP(AS$12&amp;", "&amp;tblData[[#This Row],[Day 3]],tblAccommodationCosts[],5,FALSE),0)+IFERROR(VLOOKUP(AS$12&amp;", "&amp;tblData[[#This Row],[Day 4]],tblAccommodationCosts[],5,FALSE),0)+IFERROR(VLOOKUP(AS$12&amp;", "&amp;tblData[[#This Row],[Day 5]],tblAccommodationCosts[],5,FALSE),0)+IFERROR(VLOOKUP(AS$12&amp;", "&amp;tblData[[#This Row],[Day 6]],tblAccommodationCosts[],5,FALSE),0)+IFERROR(VLOOKUP(AS$12&amp;", "&amp;tblData[[#This Row],[Day 7]],tblAccommodationCosts[],5,FALSE),0)+IFERROR(VLOOKUP(AS$12&amp;", "&amp;tblData[[#This Row],[Day 8]],tblAccommodationCosts[],5,FALSE),0)+IFERROR(VLOOKUP(AS$12&amp;", "&amp;tblData[[#This Row],[Day 9]],tblAccommodationCosts[],5,FALSE),0)+AccreditationFee*tblData[[#This Row],[Bill Accred Fee]]))+tblData[[#This Row],[Entry Fee]]</f>
        <v>#VALUE!</v>
      </c>
      <c r="AT54" s="324" t="str">
        <f>IFERROR(VLOOKUP(tblData[[#This Row],[Weight Category, Function, and Gender]],tblWeightOrFunction[],3,0),"")</f>
        <v/>
      </c>
      <c r="AU54" s="84" t="str">
        <f>IFERROR(VLOOKUP(tblData[[#This Row],[Weight Category, Function, and Gender]],tblWeightOrFunction[],4,0),"")</f>
        <v/>
      </c>
      <c r="AV54" s="85" t="str">
        <f>IFERROR(VLOOKUP(tblData[[#This Row],[Weight Category, Function, and Gender]],tblWeightOrFunction[],7,0),"")</f>
        <v/>
      </c>
      <c r="AW54" s="87" t="str">
        <f>IFERROR(VLOOKUP(tblData[[#This Row],[Weight Category, Function, and Gender]],tblWeightOrFunction[],6,0),"")</f>
        <v/>
      </c>
      <c r="AX54" s="87" t="str">
        <f>IFERROR(VLOOKUP(tblData[[#This Row],[Weight Category, Function, and Gender]],tblWeightOrFunction[],2,0),"")</f>
        <v/>
      </c>
      <c r="AY54" s="75">
        <f>tblData[[#This Row],[Arr Date]]+tblData[[#This Row],[Arr Time]]</f>
        <v>0</v>
      </c>
      <c r="AZ54" s="75">
        <f>tblData[[#This Row],[Dep Date]]+tblData[[#This Row],[Dep Time]]</f>
        <v>0</v>
      </c>
      <c r="BA54" s="72">
        <f>COUNTIF(tblData[Surname],"&lt;="&amp;tblData[Surname])</f>
        <v>0</v>
      </c>
      <c r="BB54" s="72">
        <f>COUNTIF(tblData[Given name],"&lt;="&amp;tblData[Given name])</f>
        <v>0</v>
      </c>
      <c r="BC54" s="72">
        <f>COUNTIF(tblData[Arr DateTime],"&lt;="&amp;tblData[Arr DateTime])</f>
        <v>110</v>
      </c>
      <c r="BD54" s="72">
        <f>COUNTIF(tblData[Dep DateTime],"&lt;="&amp;tblData[Dep DateTime])</f>
        <v>110</v>
      </c>
      <c r="BE54" s="72">
        <f>COUNTIF(tblData[ShuttleAtDeparture],"&lt;="&amp;tblData[ShuttleAtDeparture])</f>
        <v>0</v>
      </c>
      <c r="BI54" s="6" t="str">
        <f t="array" ref="BI54">IF(ROWS(tblData[[#Headers],[Id]]:tblData[[#This Row],[Id]])-1&gt;$BI$11,"",INDEX(tblData[Id],SMALL(IF(LEN(TRIM(tblData[Surname]))*((tblData[Type]=$BI$9)+(tblData[Type]=$BI$10)),ROW(tblData[Id])-ROW(tblData[[#Headers],[Id]])),ROWS(tblData[[#Headers],[Id]]:tblData[[#This Row],[Id]])-1)))</f>
        <v/>
      </c>
      <c r="BK54" s="6" t="str">
        <f>IF(ROWS(tblCoachesAndOfficialsSorted[[#Headers],[Id]]:tblCoachesAndOfficialsSorted[[#This Row],[Id]])-1&gt;$BK$11,"",SMALL(tblCoachesAndOfficials[Id],ROWS(tblCoachesAndOfficialsSorted[[#Headers],[Id]]:tblCoachesAndOfficialsSorted[[#This Row],[Id]])-1))</f>
        <v/>
      </c>
      <c r="BM54" s="6" t="str">
        <f t="array" ref="BM54">IF(ROWS(tblData[[#Headers],[Id]]:tblData[[#This Row],[Id]])-1&gt;$BM$11,"",INDEX(tblData[Id],SMALL(IF(LEN(TRIM(tblData[Surname]))*(tblData[Type]=$BM$9),ROW(tblData[Id])-ROW(tblData[[#Headers],[Id]])),ROWS(tblData[[#Headers],[Id]]:tblData[[#This Row],[Id]])-1)))</f>
        <v/>
      </c>
      <c r="BO54" s="6" t="str">
        <f>IF(ROWS(tblWomenSorted[[#Headers],[Id]]:tblWomenSorted[[#This Row],[Id]])-1&gt;$BO$11,"",SMALL(tblWomen[Id],ROWS(tblWomenSorted[[#Headers],[Id]]:tblWomenSorted[[#This Row],[Id]])-1))</f>
        <v/>
      </c>
      <c r="BP54" s="17"/>
      <c r="BQ54" s="6" t="str">
        <f t="array" ref="BQ54">IF(ROWS(tblData[[#Headers],[Id]]:tblData[[#This Row],[Id]])-1&gt;$BQ$11,"",INDEX(tblData[Id],SMALL(IF(LEN(TRIM(tblData[Surname]))*(tblData[Type]=$BQ$9),ROW(tblData[Id])-ROW(tblData[[#Headers],[Id]])),ROWS(tblData[[#Headers],[Id]]:tblData[[#This Row],[Id]])-1)))</f>
        <v/>
      </c>
      <c r="BS54" s="6" t="str">
        <f>IF(ROWS(tblMenSorted[[#Headers],[Id]]:tblMenSorted[[#This Row],[Id]])-1&gt;$BS$11,"",SMALL(tblMen[Id],ROWS(tblMenSorted[[#Headers],[Id]]:tblMenSorted[[#This Row],[Id]])-1))</f>
        <v/>
      </c>
      <c r="BU54" s="6" t="str">
        <f t="array" ref="BU54">IF(ROWS(tblData[[#Headers],[Sorted Name Id]]:tblData[[#This Row],[Sorted Name Id]])-1&gt;$BU$11,"",INDEX(tblData[Sorted Name Id],SMALL(IF(LEN(TRIM(tblData[Surname]))*(tblData[Visa required]="YES"),ROW(tblData[Sorted Name Id])-ROW(tblData[[#Headers],[Sorted Name Id]])),ROWS(tblData[[#Headers],[Sorted Name Id]]:tblData[[#This Row],[Sorted Name Id]])-1)))</f>
        <v/>
      </c>
      <c r="BW54" s="6" t="str">
        <f>IF(ROWS(tblVisasSorted[[#Headers],[Id]]:tblVisasSorted[[#This Row],[Id]])-1&gt;$BW$11,"",SMALL(tblVisas[Id],ROWS(tblVisasSorted[[#Headers],[Id]]:tblVisasSorted[[#This Row],[Id]])-1))</f>
        <v/>
      </c>
      <c r="BY54" s="6" t="str">
        <f t="array" ref="BY54">IF(ROWS(tblData[[#Headers],[Sorted Arr Id]]:tblData[[#This Row],[Sorted Arr Id]])-1&gt;$BY$11,"",INDEX(tblData[Sorted Arr Id],SMALL(IF(LEN(TRIM(tblData[Surname]))*(tblData[Arr DateTime]&gt;0),ROW(tblData[Sorted Arr Id])-ROW(tblData[[#Headers],[Sorted Arr Id]])),ROWS(tblData[[#Headers],[Sorted Arr Id]]:tblData[[#This Row],[Sorted Arr Id]])-1)))</f>
        <v/>
      </c>
      <c r="CA54" s="6" t="str">
        <f>IF(ROWS(tblArrivalSorted[[#Headers],[Id]]:tblArrivalSorted[[#This Row],[Id]])-1&gt;$CA$11,"",SMALL(tblArrival[Id],ROWS(tblArrivalSorted[[#Headers],[Id]]:tblArrivalSorted[[#This Row],[Id]])-1))</f>
        <v/>
      </c>
      <c r="CC54" s="6" t="str">
        <f t="array" ref="CC54">IF(ROWS(tblData[[#Headers],[Sorted Dep Id]]:tblData[[#This Row],[Sorted Dep Id]])-1&gt;$CC$11,"",INDEX(tblData[Sorted Dep Id],SMALL(IF(LEN(TRIM(tblData[Surname]))*(tblData[Dep DateTime]&gt;0),ROW(tblData[Sorted Dep Id])-ROW(tblData[[#Headers],[Sorted Dep Id]])),ROWS(tblData[[#Headers],[Sorted Dep Id]]:tblData[[#This Row],[Sorted Dep Id]])-1)))</f>
        <v/>
      </c>
      <c r="CE54" s="6" t="str">
        <f>IF(ROWS(tblDepartureSorted[[#Headers],[Id]]:tblDepartureSorted[[#This Row],[Id]])-1&gt;$CE$11,"",SMALL(tblDeparture[Id],ROWS(tblDepartureSorted[[#Headers],[Id]]:tblDepartureSorted[[#This Row],[Id]])-1))</f>
        <v/>
      </c>
      <c r="CG54" s="6" t="str">
        <f t="array" ref="CG54">IF(ROWS(tblData[[#Headers],[Id]]:tblData[[#This Row],[Id]])-1&gt;$CG$11,"",INDEX(tblData[Id],SMALL(IF(LEN(TRIM(tblData[Surname])),ROW(tblData[Id])-ROW(tblData[[#Headers],[Id]])),ROWS(tblData[[#Headers],[Id]]:tblData[[#This Row],[Id]])-1)))</f>
        <v/>
      </c>
    </row>
    <row r="55" spans="1:85" s="6" customFormat="1">
      <c r="A55" s="14">
        <f>IF(ISNUMBER(tblData[[#This Row],[SubType2]]),tblData[[#This Row],[SubType2]]*10000+tblData[[#This Row],[No]],1000000+tblData[[#This Row],[No]])</f>
        <v>1000042</v>
      </c>
      <c r="B55" s="14">
        <f>IFERROR(tblData[[#This Row],[Surname Rang]]*1000+tblData[[#This Row],[Given Name Rang]]+tblData[[#This Row],[No]]/1000,"")</f>
        <v>4.2000000000000003E-2</v>
      </c>
      <c r="C55" s="14">
        <f>IFERROR(tblData[[#This Row],[Arr DateTime Rang]]+tblData[[#This Row],[No]]/1000,"")</f>
        <v>110.042</v>
      </c>
      <c r="D55" s="14">
        <f>IFERROR(tblData[[#This Row],[Dep DateTime Rang]]+tblData[[#This Row],[No]]/1000,"")</f>
        <v>110.042</v>
      </c>
      <c r="E55" s="362">
        <f t="shared" si="1"/>
        <v>42</v>
      </c>
      <c r="F55" s="370"/>
      <c r="G55" s="331"/>
      <c r="H55" s="328"/>
      <c r="I55" s="329"/>
      <c r="J55" s="330"/>
      <c r="K55" s="369"/>
      <c r="L55" s="375"/>
      <c r="M55" s="331"/>
      <c r="N55" s="331"/>
      <c r="O55" s="331"/>
      <c r="P55" s="329"/>
      <c r="Q55" s="376"/>
      <c r="R55" s="383"/>
      <c r="S55" s="332"/>
      <c r="T55" s="331"/>
      <c r="U55" s="333"/>
      <c r="V55" s="333"/>
      <c r="W55" s="384"/>
      <c r="X55" s="383"/>
      <c r="Y55" s="332"/>
      <c r="Z55" s="331"/>
      <c r="AA55" s="331"/>
      <c r="AB55" s="333"/>
      <c r="AC55" s="384"/>
      <c r="AD55" s="375"/>
      <c r="AE55" s="369"/>
      <c r="AF55" s="397"/>
      <c r="AG55" s="328"/>
      <c r="AH55" s="328"/>
      <c r="AI55" s="328"/>
      <c r="AJ55" s="328"/>
      <c r="AK55" s="328"/>
      <c r="AL55" s="328"/>
      <c r="AM55" s="328"/>
      <c r="AN55" s="398"/>
      <c r="AO55" s="402" t="str">
        <f>IF(ISBLANK(tblData[[#This Row],[Surname]]),"",IF(tblData[[#This Row],[Bill Accred Fee]]=0,"NO","YES"))</f>
        <v/>
      </c>
      <c r="AP55" s="406">
        <f>IF(AND(NOT(ISBLANK(tblData[[#This Row],[Surname]])),COUNTA(tblData[[#This Row],[Day 1]:[Day 9]])=0),1,0)</f>
        <v>0</v>
      </c>
      <c r="AQ55" s="406">
        <f>IF(AND(NOT(ISBLANK(tblData[[#This Row],[Surname]])),tblData[[#This Row],[Position]]="Athlete"),1,0)</f>
        <v>0</v>
      </c>
      <c r="AR55" s="433">
        <f>EntryFee*tblData[[#This Row],[Entry Fee Billable]]</f>
        <v>0</v>
      </c>
      <c r="AS55" s="410" t="e">
        <f>IF(ISBLANK(SelectedCategory),"No Cat!",IF(ISBLANK($F55),0,IFERROR(VLOOKUP(AS$12&amp;", "&amp;tblData[[#This Row],[Day 1]],tblAccommodationCosts[],5,FALSE),0)+IFERROR(VLOOKUP(AS$12&amp;", "&amp;tblData[[#This Row],[Day 2]],tblAccommodationCosts[],5,FALSE),0)+IFERROR(VLOOKUP(AS$12&amp;", "&amp;tblData[[#This Row],[Day 3]],tblAccommodationCosts[],5,FALSE),0)+IFERROR(VLOOKUP(AS$12&amp;", "&amp;tblData[[#This Row],[Day 4]],tblAccommodationCosts[],5,FALSE),0)+IFERROR(VLOOKUP(AS$12&amp;", "&amp;tblData[[#This Row],[Day 5]],tblAccommodationCosts[],5,FALSE),0)+IFERROR(VLOOKUP(AS$12&amp;", "&amp;tblData[[#This Row],[Day 6]],tblAccommodationCosts[],5,FALSE),0)+IFERROR(VLOOKUP(AS$12&amp;", "&amp;tblData[[#This Row],[Day 7]],tblAccommodationCosts[],5,FALSE),0)+IFERROR(VLOOKUP(AS$12&amp;", "&amp;tblData[[#This Row],[Day 8]],tblAccommodationCosts[],5,FALSE),0)+IFERROR(VLOOKUP(AS$12&amp;", "&amp;tblData[[#This Row],[Day 9]],tblAccommodationCosts[],5,FALSE),0)+AccreditationFee*tblData[[#This Row],[Bill Accred Fee]]))+tblData[[#This Row],[Entry Fee]]</f>
        <v>#VALUE!</v>
      </c>
      <c r="AT55" s="324" t="str">
        <f>IFERROR(VLOOKUP(tblData[[#This Row],[Weight Category, Function, and Gender]],tblWeightOrFunction[],3,0),"")</f>
        <v/>
      </c>
      <c r="AU55" s="84" t="str">
        <f>IFERROR(VLOOKUP(tblData[[#This Row],[Weight Category, Function, and Gender]],tblWeightOrFunction[],4,0),"")</f>
        <v/>
      </c>
      <c r="AV55" s="85" t="str">
        <f>IFERROR(VLOOKUP(tblData[[#This Row],[Weight Category, Function, and Gender]],tblWeightOrFunction[],7,0),"")</f>
        <v/>
      </c>
      <c r="AW55" s="84" t="str">
        <f>IFERROR(VLOOKUP(tblData[[#This Row],[Weight Category, Function, and Gender]],tblWeightOrFunction[],6,0),"")</f>
        <v/>
      </c>
      <c r="AX55" s="88" t="str">
        <f>IFERROR(VLOOKUP(tblData[[#This Row],[Weight Category, Function, and Gender]],tblWeightOrFunction[],2,0),"")</f>
        <v/>
      </c>
      <c r="AY55" s="75">
        <f>tblData[[#This Row],[Arr Date]]+tblData[[#This Row],[Arr Time]]</f>
        <v>0</v>
      </c>
      <c r="AZ55" s="75">
        <f>tblData[[#This Row],[Dep Date]]+tblData[[#This Row],[Dep Time]]</f>
        <v>0</v>
      </c>
      <c r="BA55" s="72">
        <f>COUNTIF(tblData[Surname],"&lt;="&amp;tblData[Surname])</f>
        <v>0</v>
      </c>
      <c r="BB55" s="72">
        <f>COUNTIF(tblData[Given name],"&lt;="&amp;tblData[Given name])</f>
        <v>0</v>
      </c>
      <c r="BC55" s="72">
        <f>COUNTIF(tblData[Arr DateTime],"&lt;="&amp;tblData[Arr DateTime])</f>
        <v>110</v>
      </c>
      <c r="BD55" s="72">
        <f>COUNTIF(tblData[Dep DateTime],"&lt;="&amp;tblData[Dep DateTime])</f>
        <v>110</v>
      </c>
      <c r="BE55" s="72">
        <f>COUNTIF(tblData[ShuttleAtDeparture],"&lt;="&amp;tblData[ShuttleAtDeparture])</f>
        <v>0</v>
      </c>
      <c r="BI55" s="6" t="str">
        <f t="array" ref="BI55">IF(ROWS(tblData[[#Headers],[Id]]:tblData[[#This Row],[Id]])-1&gt;$BI$11,"",INDEX(tblData[Id],SMALL(IF(LEN(TRIM(tblData[Surname]))*((tblData[Type]=$BI$9)+(tblData[Type]=$BI$10)),ROW(tblData[Id])-ROW(tblData[[#Headers],[Id]])),ROWS(tblData[[#Headers],[Id]]:tblData[[#This Row],[Id]])-1)))</f>
        <v/>
      </c>
      <c r="BK55" s="6" t="str">
        <f>IF(ROWS(tblCoachesAndOfficialsSorted[[#Headers],[Id]]:tblCoachesAndOfficialsSorted[[#This Row],[Id]])-1&gt;$BK$11,"",SMALL(tblCoachesAndOfficials[Id],ROWS(tblCoachesAndOfficialsSorted[[#Headers],[Id]]:tblCoachesAndOfficialsSorted[[#This Row],[Id]])-1))</f>
        <v/>
      </c>
      <c r="BM55" s="6" t="str">
        <f t="array" ref="BM55">IF(ROWS(tblData[[#Headers],[Id]]:tblData[[#This Row],[Id]])-1&gt;$BM$11,"",INDEX(tblData[Id],SMALL(IF(LEN(TRIM(tblData[Surname]))*(tblData[Type]=$BM$9),ROW(tblData[Id])-ROW(tblData[[#Headers],[Id]])),ROWS(tblData[[#Headers],[Id]]:tblData[[#This Row],[Id]])-1)))</f>
        <v/>
      </c>
      <c r="BO55" s="6" t="str">
        <f>IF(ROWS(tblWomenSorted[[#Headers],[Id]]:tblWomenSorted[[#This Row],[Id]])-1&gt;$BO$11,"",SMALL(tblWomen[Id],ROWS(tblWomenSorted[[#Headers],[Id]]:tblWomenSorted[[#This Row],[Id]])-1))</f>
        <v/>
      </c>
      <c r="BP55" s="17"/>
      <c r="BQ55" s="6" t="str">
        <f t="array" ref="BQ55">IF(ROWS(tblData[[#Headers],[Id]]:tblData[[#This Row],[Id]])-1&gt;$BQ$11,"",INDEX(tblData[Id],SMALL(IF(LEN(TRIM(tblData[Surname]))*(tblData[Type]=$BQ$9),ROW(tblData[Id])-ROW(tblData[[#Headers],[Id]])),ROWS(tblData[[#Headers],[Id]]:tblData[[#This Row],[Id]])-1)))</f>
        <v/>
      </c>
      <c r="BS55" s="6" t="str">
        <f>IF(ROWS(tblMenSorted[[#Headers],[Id]]:tblMenSorted[[#This Row],[Id]])-1&gt;$BS$11,"",SMALL(tblMen[Id],ROWS(tblMenSorted[[#Headers],[Id]]:tblMenSorted[[#This Row],[Id]])-1))</f>
        <v/>
      </c>
      <c r="BU55" s="6" t="str">
        <f t="array" ref="BU55">IF(ROWS(tblData[[#Headers],[Sorted Name Id]]:tblData[[#This Row],[Sorted Name Id]])-1&gt;$BU$11,"",INDEX(tblData[Sorted Name Id],SMALL(IF(LEN(TRIM(tblData[Surname]))*(tblData[Visa required]="YES"),ROW(tblData[Sorted Name Id])-ROW(tblData[[#Headers],[Sorted Name Id]])),ROWS(tblData[[#Headers],[Sorted Name Id]]:tblData[[#This Row],[Sorted Name Id]])-1)))</f>
        <v/>
      </c>
      <c r="BW55" s="6" t="str">
        <f>IF(ROWS(tblVisasSorted[[#Headers],[Id]]:tblVisasSorted[[#This Row],[Id]])-1&gt;$BW$11,"",SMALL(tblVisas[Id],ROWS(tblVisasSorted[[#Headers],[Id]]:tblVisasSorted[[#This Row],[Id]])-1))</f>
        <v/>
      </c>
      <c r="BY55" s="6" t="str">
        <f t="array" ref="BY55">IF(ROWS(tblData[[#Headers],[Sorted Arr Id]]:tblData[[#This Row],[Sorted Arr Id]])-1&gt;$BY$11,"",INDEX(tblData[Sorted Arr Id],SMALL(IF(LEN(TRIM(tblData[Surname]))*(tblData[Arr DateTime]&gt;0),ROW(tblData[Sorted Arr Id])-ROW(tblData[[#Headers],[Sorted Arr Id]])),ROWS(tblData[[#Headers],[Sorted Arr Id]]:tblData[[#This Row],[Sorted Arr Id]])-1)))</f>
        <v/>
      </c>
      <c r="CA55" s="6" t="str">
        <f>IF(ROWS(tblArrivalSorted[[#Headers],[Id]]:tblArrivalSorted[[#This Row],[Id]])-1&gt;$CA$11,"",SMALL(tblArrival[Id],ROWS(tblArrivalSorted[[#Headers],[Id]]:tblArrivalSorted[[#This Row],[Id]])-1))</f>
        <v/>
      </c>
      <c r="CC55" s="6" t="str">
        <f t="array" ref="CC55">IF(ROWS(tblData[[#Headers],[Sorted Dep Id]]:tblData[[#This Row],[Sorted Dep Id]])-1&gt;$CC$11,"",INDEX(tblData[Sorted Dep Id],SMALL(IF(LEN(TRIM(tblData[Surname]))*(tblData[Dep DateTime]&gt;0),ROW(tblData[Sorted Dep Id])-ROW(tblData[[#Headers],[Sorted Dep Id]])),ROWS(tblData[[#Headers],[Sorted Dep Id]]:tblData[[#This Row],[Sorted Dep Id]])-1)))</f>
        <v/>
      </c>
      <c r="CE55" s="6" t="str">
        <f>IF(ROWS(tblDepartureSorted[[#Headers],[Id]]:tblDepartureSorted[[#This Row],[Id]])-1&gt;$CE$11,"",SMALL(tblDeparture[Id],ROWS(tblDepartureSorted[[#Headers],[Id]]:tblDepartureSorted[[#This Row],[Id]])-1))</f>
        <v/>
      </c>
      <c r="CG55" s="6" t="str">
        <f t="array" ref="CG55">IF(ROWS(tblData[[#Headers],[Id]]:tblData[[#This Row],[Id]])-1&gt;$CG$11,"",INDEX(tblData[Id],SMALL(IF(LEN(TRIM(tblData[Surname])),ROW(tblData[Id])-ROW(tblData[[#Headers],[Id]])),ROWS(tblData[[#Headers],[Id]]:tblData[[#This Row],[Id]])-1)))</f>
        <v/>
      </c>
    </row>
    <row r="56" spans="1:85" s="6" customFormat="1">
      <c r="A56" s="14">
        <f>IF(ISNUMBER(tblData[[#This Row],[SubType2]]),tblData[[#This Row],[SubType2]]*10000+tblData[[#This Row],[No]],1000000+tblData[[#This Row],[No]])</f>
        <v>1000043</v>
      </c>
      <c r="B56" s="14">
        <f>IFERROR(tblData[[#This Row],[Surname Rang]]*1000+tblData[[#This Row],[Given Name Rang]]+tblData[[#This Row],[No]]/1000,"")</f>
        <v>4.2999999999999997E-2</v>
      </c>
      <c r="C56" s="14">
        <f>IFERROR(tblData[[#This Row],[Arr DateTime Rang]]+tblData[[#This Row],[No]]/1000,"")</f>
        <v>110.04300000000001</v>
      </c>
      <c r="D56" s="14">
        <f>IFERROR(tblData[[#This Row],[Dep DateTime Rang]]+tblData[[#This Row],[No]]/1000,"")</f>
        <v>110.04300000000001</v>
      </c>
      <c r="E56" s="362">
        <f t="shared" si="1"/>
        <v>43</v>
      </c>
      <c r="F56" s="370"/>
      <c r="G56" s="331"/>
      <c r="H56" s="328"/>
      <c r="I56" s="329"/>
      <c r="J56" s="330"/>
      <c r="K56" s="369"/>
      <c r="L56" s="375"/>
      <c r="M56" s="331"/>
      <c r="N56" s="331"/>
      <c r="O56" s="331"/>
      <c r="P56" s="329"/>
      <c r="Q56" s="376"/>
      <c r="R56" s="383"/>
      <c r="S56" s="332"/>
      <c r="T56" s="331"/>
      <c r="U56" s="333"/>
      <c r="V56" s="333"/>
      <c r="W56" s="384"/>
      <c r="X56" s="383"/>
      <c r="Y56" s="332"/>
      <c r="Z56" s="331"/>
      <c r="AA56" s="331"/>
      <c r="AB56" s="333"/>
      <c r="AC56" s="384"/>
      <c r="AD56" s="375"/>
      <c r="AE56" s="369"/>
      <c r="AF56" s="397"/>
      <c r="AG56" s="328"/>
      <c r="AH56" s="328"/>
      <c r="AI56" s="328"/>
      <c r="AJ56" s="328"/>
      <c r="AK56" s="328"/>
      <c r="AL56" s="328"/>
      <c r="AM56" s="328"/>
      <c r="AN56" s="398"/>
      <c r="AO56" s="402" t="str">
        <f>IF(ISBLANK(tblData[[#This Row],[Surname]]),"",IF(tblData[[#This Row],[Bill Accred Fee]]=0,"NO","YES"))</f>
        <v/>
      </c>
      <c r="AP56" s="406">
        <f>IF(AND(NOT(ISBLANK(tblData[[#This Row],[Surname]])),COUNTA(tblData[[#This Row],[Day 1]:[Day 9]])=0),1,0)</f>
        <v>0</v>
      </c>
      <c r="AQ56" s="406">
        <f>IF(AND(NOT(ISBLANK(tblData[[#This Row],[Surname]])),tblData[[#This Row],[Position]]="Athlete"),1,0)</f>
        <v>0</v>
      </c>
      <c r="AR56" s="433">
        <f>EntryFee*tblData[[#This Row],[Entry Fee Billable]]</f>
        <v>0</v>
      </c>
      <c r="AS56" s="410" t="e">
        <f>IF(ISBLANK(SelectedCategory),"No Cat!",IF(ISBLANK($F56),0,IFERROR(VLOOKUP(AS$12&amp;", "&amp;tblData[[#This Row],[Day 1]],tblAccommodationCosts[],5,FALSE),0)+IFERROR(VLOOKUP(AS$12&amp;", "&amp;tblData[[#This Row],[Day 2]],tblAccommodationCosts[],5,FALSE),0)+IFERROR(VLOOKUP(AS$12&amp;", "&amp;tblData[[#This Row],[Day 3]],tblAccommodationCosts[],5,FALSE),0)+IFERROR(VLOOKUP(AS$12&amp;", "&amp;tblData[[#This Row],[Day 4]],tblAccommodationCosts[],5,FALSE),0)+IFERROR(VLOOKUP(AS$12&amp;", "&amp;tblData[[#This Row],[Day 5]],tblAccommodationCosts[],5,FALSE),0)+IFERROR(VLOOKUP(AS$12&amp;", "&amp;tblData[[#This Row],[Day 6]],tblAccommodationCosts[],5,FALSE),0)+IFERROR(VLOOKUP(AS$12&amp;", "&amp;tblData[[#This Row],[Day 7]],tblAccommodationCosts[],5,FALSE),0)+IFERROR(VLOOKUP(AS$12&amp;", "&amp;tblData[[#This Row],[Day 8]],tblAccommodationCosts[],5,FALSE),0)+IFERROR(VLOOKUP(AS$12&amp;", "&amp;tblData[[#This Row],[Day 9]],tblAccommodationCosts[],5,FALSE),0)+AccreditationFee*tblData[[#This Row],[Bill Accred Fee]]))+tblData[[#This Row],[Entry Fee]]</f>
        <v>#VALUE!</v>
      </c>
      <c r="AT56" s="324" t="str">
        <f>IFERROR(VLOOKUP(tblData[[#This Row],[Weight Category, Function, and Gender]],tblWeightOrFunction[],3,0),"")</f>
        <v/>
      </c>
      <c r="AU56" s="84" t="str">
        <f>IFERROR(VLOOKUP(tblData[[#This Row],[Weight Category, Function, and Gender]],tblWeightOrFunction[],4,0),"")</f>
        <v/>
      </c>
      <c r="AV56" s="85" t="str">
        <f>IFERROR(VLOOKUP(tblData[[#This Row],[Weight Category, Function, and Gender]],tblWeightOrFunction[],7,0),"")</f>
        <v/>
      </c>
      <c r="AW56" s="84" t="str">
        <f>IFERROR(VLOOKUP(tblData[[#This Row],[Weight Category, Function, and Gender]],tblWeightOrFunction[],6,0),"")</f>
        <v/>
      </c>
      <c r="AX56" s="84" t="str">
        <f>IFERROR(VLOOKUP(tblData[[#This Row],[Weight Category, Function, and Gender]],tblWeightOrFunction[],2,0),"")</f>
        <v/>
      </c>
      <c r="AY56" s="75">
        <f>tblData[[#This Row],[Arr Date]]+tblData[[#This Row],[Arr Time]]</f>
        <v>0</v>
      </c>
      <c r="AZ56" s="75">
        <f>tblData[[#This Row],[Dep Date]]+tblData[[#This Row],[Dep Time]]</f>
        <v>0</v>
      </c>
      <c r="BA56" s="72">
        <f>COUNTIF(tblData[Surname],"&lt;="&amp;tblData[Surname])</f>
        <v>0</v>
      </c>
      <c r="BB56" s="72">
        <f>COUNTIF(tblData[Given name],"&lt;="&amp;tblData[Given name])</f>
        <v>0</v>
      </c>
      <c r="BC56" s="72">
        <f>COUNTIF(tblData[Arr DateTime],"&lt;="&amp;tblData[Arr DateTime])</f>
        <v>110</v>
      </c>
      <c r="BD56" s="72">
        <f>COUNTIF(tblData[Dep DateTime],"&lt;="&amp;tblData[Dep DateTime])</f>
        <v>110</v>
      </c>
      <c r="BE56" s="72">
        <f>COUNTIF(tblData[ShuttleAtDeparture],"&lt;="&amp;tblData[ShuttleAtDeparture])</f>
        <v>0</v>
      </c>
      <c r="BI56" s="6" t="str">
        <f t="array" ref="BI56">IF(ROWS(tblData[[#Headers],[Id]]:tblData[[#This Row],[Id]])-1&gt;$BI$11,"",INDEX(tblData[Id],SMALL(IF(LEN(TRIM(tblData[Surname]))*((tblData[Type]=$BI$9)+(tblData[Type]=$BI$10)),ROW(tblData[Id])-ROW(tblData[[#Headers],[Id]])),ROWS(tblData[[#Headers],[Id]]:tblData[[#This Row],[Id]])-1)))</f>
        <v/>
      </c>
      <c r="BK56" s="6" t="str">
        <f>IF(ROWS(tblCoachesAndOfficialsSorted[[#Headers],[Id]]:tblCoachesAndOfficialsSorted[[#This Row],[Id]])-1&gt;$BK$11,"",SMALL(tblCoachesAndOfficials[Id],ROWS(tblCoachesAndOfficialsSorted[[#Headers],[Id]]:tblCoachesAndOfficialsSorted[[#This Row],[Id]])-1))</f>
        <v/>
      </c>
      <c r="BM56" s="6" t="str">
        <f t="array" ref="BM56">IF(ROWS(tblData[[#Headers],[Id]]:tblData[[#This Row],[Id]])-1&gt;$BM$11,"",INDEX(tblData[Id],SMALL(IF(LEN(TRIM(tblData[Surname]))*(tblData[Type]=$BM$9),ROW(tblData[Id])-ROW(tblData[[#Headers],[Id]])),ROWS(tblData[[#Headers],[Id]]:tblData[[#This Row],[Id]])-1)))</f>
        <v/>
      </c>
      <c r="BO56" s="6" t="str">
        <f>IF(ROWS(tblWomenSorted[[#Headers],[Id]]:tblWomenSorted[[#This Row],[Id]])-1&gt;$BO$11,"",SMALL(tblWomen[Id],ROWS(tblWomenSorted[[#Headers],[Id]]:tblWomenSorted[[#This Row],[Id]])-1))</f>
        <v/>
      </c>
      <c r="BP56" s="17"/>
      <c r="BQ56" s="6" t="str">
        <f t="array" ref="BQ56">IF(ROWS(tblData[[#Headers],[Id]]:tblData[[#This Row],[Id]])-1&gt;$BQ$11,"",INDEX(tblData[Id],SMALL(IF(LEN(TRIM(tblData[Surname]))*(tblData[Type]=$BQ$9),ROW(tblData[Id])-ROW(tblData[[#Headers],[Id]])),ROWS(tblData[[#Headers],[Id]]:tblData[[#This Row],[Id]])-1)))</f>
        <v/>
      </c>
      <c r="BS56" s="6" t="str">
        <f>IF(ROWS(tblMenSorted[[#Headers],[Id]]:tblMenSorted[[#This Row],[Id]])-1&gt;$BS$11,"",SMALL(tblMen[Id],ROWS(tblMenSorted[[#Headers],[Id]]:tblMenSorted[[#This Row],[Id]])-1))</f>
        <v/>
      </c>
      <c r="BU56" s="6" t="str">
        <f t="array" ref="BU56">IF(ROWS(tblData[[#Headers],[Sorted Name Id]]:tblData[[#This Row],[Sorted Name Id]])-1&gt;$BU$11,"",INDEX(tblData[Sorted Name Id],SMALL(IF(LEN(TRIM(tblData[Surname]))*(tblData[Visa required]="YES"),ROW(tblData[Sorted Name Id])-ROW(tblData[[#Headers],[Sorted Name Id]])),ROWS(tblData[[#Headers],[Sorted Name Id]]:tblData[[#This Row],[Sorted Name Id]])-1)))</f>
        <v/>
      </c>
      <c r="BW56" s="6" t="str">
        <f>IF(ROWS(tblVisasSorted[[#Headers],[Id]]:tblVisasSorted[[#This Row],[Id]])-1&gt;$BW$11,"",SMALL(tblVisas[Id],ROWS(tblVisasSorted[[#Headers],[Id]]:tblVisasSorted[[#This Row],[Id]])-1))</f>
        <v/>
      </c>
      <c r="BY56" s="6" t="str">
        <f t="array" ref="BY56">IF(ROWS(tblData[[#Headers],[Sorted Arr Id]]:tblData[[#This Row],[Sorted Arr Id]])-1&gt;$BY$11,"",INDEX(tblData[Sorted Arr Id],SMALL(IF(LEN(TRIM(tblData[Surname]))*(tblData[Arr DateTime]&gt;0),ROW(tblData[Sorted Arr Id])-ROW(tblData[[#Headers],[Sorted Arr Id]])),ROWS(tblData[[#Headers],[Sorted Arr Id]]:tblData[[#This Row],[Sorted Arr Id]])-1)))</f>
        <v/>
      </c>
      <c r="CA56" s="6" t="str">
        <f>IF(ROWS(tblArrivalSorted[[#Headers],[Id]]:tblArrivalSorted[[#This Row],[Id]])-1&gt;$CA$11,"",SMALL(tblArrival[Id],ROWS(tblArrivalSorted[[#Headers],[Id]]:tblArrivalSorted[[#This Row],[Id]])-1))</f>
        <v/>
      </c>
      <c r="CC56" s="6" t="str">
        <f t="array" ref="CC56">IF(ROWS(tblData[[#Headers],[Sorted Dep Id]]:tblData[[#This Row],[Sorted Dep Id]])-1&gt;$CC$11,"",INDEX(tblData[Sorted Dep Id],SMALL(IF(LEN(TRIM(tblData[Surname]))*(tblData[Dep DateTime]&gt;0),ROW(tblData[Sorted Dep Id])-ROW(tblData[[#Headers],[Sorted Dep Id]])),ROWS(tblData[[#Headers],[Sorted Dep Id]]:tblData[[#This Row],[Sorted Dep Id]])-1)))</f>
        <v/>
      </c>
      <c r="CE56" s="6" t="str">
        <f>IF(ROWS(tblDepartureSorted[[#Headers],[Id]]:tblDepartureSorted[[#This Row],[Id]])-1&gt;$CE$11,"",SMALL(tblDeparture[Id],ROWS(tblDepartureSorted[[#Headers],[Id]]:tblDepartureSorted[[#This Row],[Id]])-1))</f>
        <v/>
      </c>
      <c r="CG56" s="6" t="str">
        <f t="array" ref="CG56">IF(ROWS(tblData[[#Headers],[Id]]:tblData[[#This Row],[Id]])-1&gt;$CG$11,"",INDEX(tblData[Id],SMALL(IF(LEN(TRIM(tblData[Surname])),ROW(tblData[Id])-ROW(tblData[[#Headers],[Id]])),ROWS(tblData[[#Headers],[Id]]:tblData[[#This Row],[Id]])-1)))</f>
        <v/>
      </c>
    </row>
    <row r="57" spans="1:85" s="6" customFormat="1">
      <c r="A57" s="14">
        <f>IF(ISNUMBER(tblData[[#This Row],[SubType2]]),tblData[[#This Row],[SubType2]]*10000+tblData[[#This Row],[No]],1000000+tblData[[#This Row],[No]])</f>
        <v>1000044</v>
      </c>
      <c r="B57" s="14">
        <f>IFERROR(tblData[[#This Row],[Surname Rang]]*1000+tblData[[#This Row],[Given Name Rang]]+tblData[[#This Row],[No]]/1000,"")</f>
        <v>4.3999999999999997E-2</v>
      </c>
      <c r="C57" s="14">
        <f>IFERROR(tblData[[#This Row],[Arr DateTime Rang]]+tblData[[#This Row],[No]]/1000,"")</f>
        <v>110.044</v>
      </c>
      <c r="D57" s="14">
        <f>IFERROR(tblData[[#This Row],[Dep DateTime Rang]]+tblData[[#This Row],[No]]/1000,"")</f>
        <v>110.044</v>
      </c>
      <c r="E57" s="362">
        <f t="shared" si="1"/>
        <v>44</v>
      </c>
      <c r="F57" s="370"/>
      <c r="G57" s="331"/>
      <c r="H57" s="328"/>
      <c r="I57" s="329"/>
      <c r="J57" s="330"/>
      <c r="K57" s="369"/>
      <c r="L57" s="375"/>
      <c r="M57" s="331"/>
      <c r="N57" s="331"/>
      <c r="O57" s="331"/>
      <c r="P57" s="329"/>
      <c r="Q57" s="376"/>
      <c r="R57" s="383"/>
      <c r="S57" s="332"/>
      <c r="T57" s="331"/>
      <c r="U57" s="333"/>
      <c r="V57" s="333"/>
      <c r="W57" s="384"/>
      <c r="X57" s="383"/>
      <c r="Y57" s="332"/>
      <c r="Z57" s="331"/>
      <c r="AA57" s="331"/>
      <c r="AB57" s="333"/>
      <c r="AC57" s="384"/>
      <c r="AD57" s="375"/>
      <c r="AE57" s="369"/>
      <c r="AF57" s="397"/>
      <c r="AG57" s="328"/>
      <c r="AH57" s="328"/>
      <c r="AI57" s="328"/>
      <c r="AJ57" s="328"/>
      <c r="AK57" s="328"/>
      <c r="AL57" s="328"/>
      <c r="AM57" s="328"/>
      <c r="AN57" s="398"/>
      <c r="AO57" s="402" t="str">
        <f>IF(ISBLANK(tblData[[#This Row],[Surname]]),"",IF(tblData[[#This Row],[Bill Accred Fee]]=0,"NO","YES"))</f>
        <v/>
      </c>
      <c r="AP57" s="406">
        <f>IF(AND(NOT(ISBLANK(tblData[[#This Row],[Surname]])),COUNTA(tblData[[#This Row],[Day 1]:[Day 9]])=0),1,0)</f>
        <v>0</v>
      </c>
      <c r="AQ57" s="406">
        <f>IF(AND(NOT(ISBLANK(tblData[[#This Row],[Surname]])),tblData[[#This Row],[Position]]="Athlete"),1,0)</f>
        <v>0</v>
      </c>
      <c r="AR57" s="433">
        <f>EntryFee*tblData[[#This Row],[Entry Fee Billable]]</f>
        <v>0</v>
      </c>
      <c r="AS57" s="410" t="e">
        <f>IF(ISBLANK(SelectedCategory),"No Cat!",IF(ISBLANK($F57),0,IFERROR(VLOOKUP(AS$12&amp;", "&amp;tblData[[#This Row],[Day 1]],tblAccommodationCosts[],5,FALSE),0)+IFERROR(VLOOKUP(AS$12&amp;", "&amp;tblData[[#This Row],[Day 2]],tblAccommodationCosts[],5,FALSE),0)+IFERROR(VLOOKUP(AS$12&amp;", "&amp;tblData[[#This Row],[Day 3]],tblAccommodationCosts[],5,FALSE),0)+IFERROR(VLOOKUP(AS$12&amp;", "&amp;tblData[[#This Row],[Day 4]],tblAccommodationCosts[],5,FALSE),0)+IFERROR(VLOOKUP(AS$12&amp;", "&amp;tblData[[#This Row],[Day 5]],tblAccommodationCosts[],5,FALSE),0)+IFERROR(VLOOKUP(AS$12&amp;", "&amp;tblData[[#This Row],[Day 6]],tblAccommodationCosts[],5,FALSE),0)+IFERROR(VLOOKUP(AS$12&amp;", "&amp;tblData[[#This Row],[Day 7]],tblAccommodationCosts[],5,FALSE),0)+IFERROR(VLOOKUP(AS$12&amp;", "&amp;tblData[[#This Row],[Day 8]],tblAccommodationCosts[],5,FALSE),0)+IFERROR(VLOOKUP(AS$12&amp;", "&amp;tblData[[#This Row],[Day 9]],tblAccommodationCosts[],5,FALSE),0)+AccreditationFee*tblData[[#This Row],[Bill Accred Fee]]))+tblData[[#This Row],[Entry Fee]]</f>
        <v>#VALUE!</v>
      </c>
      <c r="AT57" s="324" t="str">
        <f>IFERROR(VLOOKUP(tblData[[#This Row],[Weight Category, Function, and Gender]],tblWeightOrFunction[],3,0),"")</f>
        <v/>
      </c>
      <c r="AU57" s="84" t="str">
        <f>IFERROR(VLOOKUP(tblData[[#This Row],[Weight Category, Function, and Gender]],tblWeightOrFunction[],4,0),"")</f>
        <v/>
      </c>
      <c r="AV57" s="85" t="str">
        <f>IFERROR(VLOOKUP(tblData[[#This Row],[Weight Category, Function, and Gender]],tblWeightOrFunction[],7,0),"")</f>
        <v/>
      </c>
      <c r="AW57" s="84" t="str">
        <f>IFERROR(VLOOKUP(tblData[[#This Row],[Weight Category, Function, and Gender]],tblWeightOrFunction[],6,0),"")</f>
        <v/>
      </c>
      <c r="AX57" s="84" t="str">
        <f>IFERROR(VLOOKUP(tblData[[#This Row],[Weight Category, Function, and Gender]],tblWeightOrFunction[],2,0),"")</f>
        <v/>
      </c>
      <c r="AY57" s="75">
        <f>tblData[[#This Row],[Arr Date]]+tblData[[#This Row],[Arr Time]]</f>
        <v>0</v>
      </c>
      <c r="AZ57" s="75">
        <f>tblData[[#This Row],[Dep Date]]+tblData[[#This Row],[Dep Time]]</f>
        <v>0</v>
      </c>
      <c r="BA57" s="72">
        <f>COUNTIF(tblData[Surname],"&lt;="&amp;tblData[Surname])</f>
        <v>0</v>
      </c>
      <c r="BB57" s="72">
        <f>COUNTIF(tblData[Given name],"&lt;="&amp;tblData[Given name])</f>
        <v>0</v>
      </c>
      <c r="BC57" s="72">
        <f>COUNTIF(tblData[Arr DateTime],"&lt;="&amp;tblData[Arr DateTime])</f>
        <v>110</v>
      </c>
      <c r="BD57" s="72">
        <f>COUNTIF(tblData[Dep DateTime],"&lt;="&amp;tblData[Dep DateTime])</f>
        <v>110</v>
      </c>
      <c r="BE57" s="72">
        <f>COUNTIF(tblData[ShuttleAtDeparture],"&lt;="&amp;tblData[ShuttleAtDeparture])</f>
        <v>0</v>
      </c>
      <c r="BI57" s="6" t="str">
        <f t="array" ref="BI57">IF(ROWS(tblData[[#Headers],[Id]]:tblData[[#This Row],[Id]])-1&gt;$BI$11,"",INDEX(tblData[Id],SMALL(IF(LEN(TRIM(tblData[Surname]))*((tblData[Type]=$BI$9)+(tblData[Type]=$BI$10)),ROW(tblData[Id])-ROW(tblData[[#Headers],[Id]])),ROWS(tblData[[#Headers],[Id]]:tblData[[#This Row],[Id]])-1)))</f>
        <v/>
      </c>
      <c r="BK57" s="6" t="str">
        <f>IF(ROWS(tblCoachesAndOfficialsSorted[[#Headers],[Id]]:tblCoachesAndOfficialsSorted[[#This Row],[Id]])-1&gt;$BK$11,"",SMALL(tblCoachesAndOfficials[Id],ROWS(tblCoachesAndOfficialsSorted[[#Headers],[Id]]:tblCoachesAndOfficialsSorted[[#This Row],[Id]])-1))</f>
        <v/>
      </c>
      <c r="BM57" s="6" t="str">
        <f t="array" ref="BM57">IF(ROWS(tblData[[#Headers],[Id]]:tblData[[#This Row],[Id]])-1&gt;$BM$11,"",INDEX(tblData[Id],SMALL(IF(LEN(TRIM(tblData[Surname]))*(tblData[Type]=$BM$9),ROW(tblData[Id])-ROW(tblData[[#Headers],[Id]])),ROWS(tblData[[#Headers],[Id]]:tblData[[#This Row],[Id]])-1)))</f>
        <v/>
      </c>
      <c r="BO57" s="6" t="str">
        <f>IF(ROWS(tblWomenSorted[[#Headers],[Id]]:tblWomenSorted[[#This Row],[Id]])-1&gt;$BO$11,"",SMALL(tblWomen[Id],ROWS(tblWomenSorted[[#Headers],[Id]]:tblWomenSorted[[#This Row],[Id]])-1))</f>
        <v/>
      </c>
      <c r="BP57" s="17"/>
      <c r="BQ57" s="6" t="str">
        <f t="array" ref="BQ57">IF(ROWS(tblData[[#Headers],[Id]]:tblData[[#This Row],[Id]])-1&gt;$BQ$11,"",INDEX(tblData[Id],SMALL(IF(LEN(TRIM(tblData[Surname]))*(tblData[Type]=$BQ$9),ROW(tblData[Id])-ROW(tblData[[#Headers],[Id]])),ROWS(tblData[[#Headers],[Id]]:tblData[[#This Row],[Id]])-1)))</f>
        <v/>
      </c>
      <c r="BS57" s="6" t="str">
        <f>IF(ROWS(tblMenSorted[[#Headers],[Id]]:tblMenSorted[[#This Row],[Id]])-1&gt;$BS$11,"",SMALL(tblMen[Id],ROWS(tblMenSorted[[#Headers],[Id]]:tblMenSorted[[#This Row],[Id]])-1))</f>
        <v/>
      </c>
      <c r="BU57" s="6" t="str">
        <f t="array" ref="BU57">IF(ROWS(tblData[[#Headers],[Sorted Name Id]]:tblData[[#This Row],[Sorted Name Id]])-1&gt;$BU$11,"",INDEX(tblData[Sorted Name Id],SMALL(IF(LEN(TRIM(tblData[Surname]))*(tblData[Visa required]="YES"),ROW(tblData[Sorted Name Id])-ROW(tblData[[#Headers],[Sorted Name Id]])),ROWS(tblData[[#Headers],[Sorted Name Id]]:tblData[[#This Row],[Sorted Name Id]])-1)))</f>
        <v/>
      </c>
      <c r="BW57" s="6" t="str">
        <f>IF(ROWS(tblVisasSorted[[#Headers],[Id]]:tblVisasSorted[[#This Row],[Id]])-1&gt;$BW$11,"",SMALL(tblVisas[Id],ROWS(tblVisasSorted[[#Headers],[Id]]:tblVisasSorted[[#This Row],[Id]])-1))</f>
        <v/>
      </c>
      <c r="BY57" s="6" t="str">
        <f t="array" ref="BY57">IF(ROWS(tblData[[#Headers],[Sorted Arr Id]]:tblData[[#This Row],[Sorted Arr Id]])-1&gt;$BY$11,"",INDEX(tblData[Sorted Arr Id],SMALL(IF(LEN(TRIM(tblData[Surname]))*(tblData[Arr DateTime]&gt;0),ROW(tblData[Sorted Arr Id])-ROW(tblData[[#Headers],[Sorted Arr Id]])),ROWS(tblData[[#Headers],[Sorted Arr Id]]:tblData[[#This Row],[Sorted Arr Id]])-1)))</f>
        <v/>
      </c>
      <c r="CA57" s="6" t="str">
        <f>IF(ROWS(tblArrivalSorted[[#Headers],[Id]]:tblArrivalSorted[[#This Row],[Id]])-1&gt;$CA$11,"",SMALL(tblArrival[Id],ROWS(tblArrivalSorted[[#Headers],[Id]]:tblArrivalSorted[[#This Row],[Id]])-1))</f>
        <v/>
      </c>
      <c r="CC57" s="6" t="str">
        <f t="array" ref="CC57">IF(ROWS(tblData[[#Headers],[Sorted Dep Id]]:tblData[[#This Row],[Sorted Dep Id]])-1&gt;$CC$11,"",INDEX(tblData[Sorted Dep Id],SMALL(IF(LEN(TRIM(tblData[Surname]))*(tblData[Dep DateTime]&gt;0),ROW(tblData[Sorted Dep Id])-ROW(tblData[[#Headers],[Sorted Dep Id]])),ROWS(tblData[[#Headers],[Sorted Dep Id]]:tblData[[#This Row],[Sorted Dep Id]])-1)))</f>
        <v/>
      </c>
      <c r="CE57" s="6" t="str">
        <f>IF(ROWS(tblDepartureSorted[[#Headers],[Id]]:tblDepartureSorted[[#This Row],[Id]])-1&gt;$CE$11,"",SMALL(tblDeparture[Id],ROWS(tblDepartureSorted[[#Headers],[Id]]:tblDepartureSorted[[#This Row],[Id]])-1))</f>
        <v/>
      </c>
      <c r="CG57" s="6" t="str">
        <f t="array" ref="CG57">IF(ROWS(tblData[[#Headers],[Id]]:tblData[[#This Row],[Id]])-1&gt;$CG$11,"",INDEX(tblData[Id],SMALL(IF(LEN(TRIM(tblData[Surname])),ROW(tblData[Id])-ROW(tblData[[#Headers],[Id]])),ROWS(tblData[[#Headers],[Id]]:tblData[[#This Row],[Id]])-1)))</f>
        <v/>
      </c>
    </row>
    <row r="58" spans="1:85" s="6" customFormat="1">
      <c r="A58" s="14">
        <f>IF(ISNUMBER(tblData[[#This Row],[SubType2]]),tblData[[#This Row],[SubType2]]*10000+tblData[[#This Row],[No]],1000000+tblData[[#This Row],[No]])</f>
        <v>1000045</v>
      </c>
      <c r="B58" s="14">
        <f>IFERROR(tblData[[#This Row],[Surname Rang]]*1000+tblData[[#This Row],[Given Name Rang]]+tblData[[#This Row],[No]]/1000,"")</f>
        <v>4.4999999999999998E-2</v>
      </c>
      <c r="C58" s="14">
        <f>IFERROR(tblData[[#This Row],[Arr DateTime Rang]]+tblData[[#This Row],[No]]/1000,"")</f>
        <v>110.045</v>
      </c>
      <c r="D58" s="14">
        <f>IFERROR(tblData[[#This Row],[Dep DateTime Rang]]+tblData[[#This Row],[No]]/1000,"")</f>
        <v>110.045</v>
      </c>
      <c r="E58" s="362">
        <f t="shared" si="1"/>
        <v>45</v>
      </c>
      <c r="F58" s="370"/>
      <c r="G58" s="331"/>
      <c r="H58" s="328"/>
      <c r="I58" s="329"/>
      <c r="J58" s="330"/>
      <c r="K58" s="369"/>
      <c r="L58" s="375"/>
      <c r="M58" s="331"/>
      <c r="N58" s="331"/>
      <c r="O58" s="331"/>
      <c r="P58" s="329"/>
      <c r="Q58" s="376"/>
      <c r="R58" s="383"/>
      <c r="S58" s="332"/>
      <c r="T58" s="331"/>
      <c r="U58" s="333"/>
      <c r="V58" s="333"/>
      <c r="W58" s="384"/>
      <c r="X58" s="383"/>
      <c r="Y58" s="332"/>
      <c r="Z58" s="331"/>
      <c r="AA58" s="331"/>
      <c r="AB58" s="333"/>
      <c r="AC58" s="384"/>
      <c r="AD58" s="375"/>
      <c r="AE58" s="369"/>
      <c r="AF58" s="397"/>
      <c r="AG58" s="328"/>
      <c r="AH58" s="328"/>
      <c r="AI58" s="328"/>
      <c r="AJ58" s="328"/>
      <c r="AK58" s="328"/>
      <c r="AL58" s="328"/>
      <c r="AM58" s="328"/>
      <c r="AN58" s="398"/>
      <c r="AO58" s="402" t="str">
        <f>IF(ISBLANK(tblData[[#This Row],[Surname]]),"",IF(tblData[[#This Row],[Bill Accred Fee]]=0,"NO","YES"))</f>
        <v/>
      </c>
      <c r="AP58" s="406">
        <f>IF(AND(NOT(ISBLANK(tblData[[#This Row],[Surname]])),COUNTA(tblData[[#This Row],[Day 1]:[Day 9]])=0),1,0)</f>
        <v>0</v>
      </c>
      <c r="AQ58" s="406">
        <f>IF(AND(NOT(ISBLANK(tblData[[#This Row],[Surname]])),tblData[[#This Row],[Position]]="Athlete"),1,0)</f>
        <v>0</v>
      </c>
      <c r="AR58" s="433">
        <f>EntryFee*tblData[[#This Row],[Entry Fee Billable]]</f>
        <v>0</v>
      </c>
      <c r="AS58" s="410" t="e">
        <f>IF(ISBLANK(SelectedCategory),"No Cat!",IF(ISBLANK($F58),0,IFERROR(VLOOKUP(AS$12&amp;", "&amp;tblData[[#This Row],[Day 1]],tblAccommodationCosts[],5,FALSE),0)+IFERROR(VLOOKUP(AS$12&amp;", "&amp;tblData[[#This Row],[Day 2]],tblAccommodationCosts[],5,FALSE),0)+IFERROR(VLOOKUP(AS$12&amp;", "&amp;tblData[[#This Row],[Day 3]],tblAccommodationCosts[],5,FALSE),0)+IFERROR(VLOOKUP(AS$12&amp;", "&amp;tblData[[#This Row],[Day 4]],tblAccommodationCosts[],5,FALSE),0)+IFERROR(VLOOKUP(AS$12&amp;", "&amp;tblData[[#This Row],[Day 5]],tblAccommodationCosts[],5,FALSE),0)+IFERROR(VLOOKUP(AS$12&amp;", "&amp;tblData[[#This Row],[Day 6]],tblAccommodationCosts[],5,FALSE),0)+IFERROR(VLOOKUP(AS$12&amp;", "&amp;tblData[[#This Row],[Day 7]],tblAccommodationCosts[],5,FALSE),0)+IFERROR(VLOOKUP(AS$12&amp;", "&amp;tblData[[#This Row],[Day 8]],tblAccommodationCosts[],5,FALSE),0)+IFERROR(VLOOKUP(AS$12&amp;", "&amp;tblData[[#This Row],[Day 9]],tblAccommodationCosts[],5,FALSE),0)+AccreditationFee*tblData[[#This Row],[Bill Accred Fee]]))+tblData[[#This Row],[Entry Fee]]</f>
        <v>#VALUE!</v>
      </c>
      <c r="AT58" s="324" t="str">
        <f>IFERROR(VLOOKUP(tblData[[#This Row],[Weight Category, Function, and Gender]],tblWeightOrFunction[],3,0),"")</f>
        <v/>
      </c>
      <c r="AU58" s="84" t="str">
        <f>IFERROR(VLOOKUP(tblData[[#This Row],[Weight Category, Function, and Gender]],tblWeightOrFunction[],4,0),"")</f>
        <v/>
      </c>
      <c r="AV58" s="85" t="str">
        <f>IFERROR(VLOOKUP(tblData[[#This Row],[Weight Category, Function, and Gender]],tblWeightOrFunction[],7,0),"")</f>
        <v/>
      </c>
      <c r="AW58" s="84" t="str">
        <f>IFERROR(VLOOKUP(tblData[[#This Row],[Weight Category, Function, and Gender]],tblWeightOrFunction[],6,0),"")</f>
        <v/>
      </c>
      <c r="AX58" s="84" t="str">
        <f>IFERROR(VLOOKUP(tblData[[#This Row],[Weight Category, Function, and Gender]],tblWeightOrFunction[],2,0),"")</f>
        <v/>
      </c>
      <c r="AY58" s="75">
        <f>tblData[[#This Row],[Arr Date]]+tblData[[#This Row],[Arr Time]]</f>
        <v>0</v>
      </c>
      <c r="AZ58" s="75">
        <f>tblData[[#This Row],[Dep Date]]+tblData[[#This Row],[Dep Time]]</f>
        <v>0</v>
      </c>
      <c r="BA58" s="72">
        <f>COUNTIF(tblData[Surname],"&lt;="&amp;tblData[Surname])</f>
        <v>0</v>
      </c>
      <c r="BB58" s="72">
        <f>COUNTIF(tblData[Given name],"&lt;="&amp;tblData[Given name])</f>
        <v>0</v>
      </c>
      <c r="BC58" s="72">
        <f>COUNTIF(tblData[Arr DateTime],"&lt;="&amp;tblData[Arr DateTime])</f>
        <v>110</v>
      </c>
      <c r="BD58" s="72">
        <f>COUNTIF(tblData[Dep DateTime],"&lt;="&amp;tblData[Dep DateTime])</f>
        <v>110</v>
      </c>
      <c r="BE58" s="72">
        <f>COUNTIF(tblData[ShuttleAtDeparture],"&lt;="&amp;tblData[ShuttleAtDeparture])</f>
        <v>0</v>
      </c>
      <c r="BI58" s="6" t="str">
        <f t="array" ref="BI58">IF(ROWS(tblData[[#Headers],[Id]]:tblData[[#This Row],[Id]])-1&gt;$BI$11,"",INDEX(tblData[Id],SMALL(IF(LEN(TRIM(tblData[Surname]))*((tblData[Type]=$BI$9)+(tblData[Type]=$BI$10)),ROW(tblData[Id])-ROW(tblData[[#Headers],[Id]])),ROWS(tblData[[#Headers],[Id]]:tblData[[#This Row],[Id]])-1)))</f>
        <v/>
      </c>
      <c r="BK58" s="6" t="str">
        <f>IF(ROWS(tblCoachesAndOfficialsSorted[[#Headers],[Id]]:tblCoachesAndOfficialsSorted[[#This Row],[Id]])-1&gt;$BK$11,"",SMALL(tblCoachesAndOfficials[Id],ROWS(tblCoachesAndOfficialsSorted[[#Headers],[Id]]:tblCoachesAndOfficialsSorted[[#This Row],[Id]])-1))</f>
        <v/>
      </c>
      <c r="BM58" s="6" t="str">
        <f t="array" ref="BM58">IF(ROWS(tblData[[#Headers],[Id]]:tblData[[#This Row],[Id]])-1&gt;$BM$11,"",INDEX(tblData[Id],SMALL(IF(LEN(TRIM(tblData[Surname]))*(tblData[Type]=$BM$9),ROW(tblData[Id])-ROW(tblData[[#Headers],[Id]])),ROWS(tblData[[#Headers],[Id]]:tblData[[#This Row],[Id]])-1)))</f>
        <v/>
      </c>
      <c r="BO58" s="6" t="str">
        <f>IF(ROWS(tblWomenSorted[[#Headers],[Id]]:tblWomenSorted[[#This Row],[Id]])-1&gt;$BO$11,"",SMALL(tblWomen[Id],ROWS(tblWomenSorted[[#Headers],[Id]]:tblWomenSorted[[#This Row],[Id]])-1))</f>
        <v/>
      </c>
      <c r="BP58" s="17"/>
      <c r="BQ58" s="6" t="str">
        <f t="array" ref="BQ58">IF(ROWS(tblData[[#Headers],[Id]]:tblData[[#This Row],[Id]])-1&gt;$BQ$11,"",INDEX(tblData[Id],SMALL(IF(LEN(TRIM(tblData[Surname]))*(tblData[Type]=$BQ$9),ROW(tblData[Id])-ROW(tblData[[#Headers],[Id]])),ROWS(tblData[[#Headers],[Id]]:tblData[[#This Row],[Id]])-1)))</f>
        <v/>
      </c>
      <c r="BS58" s="6" t="str">
        <f>IF(ROWS(tblMenSorted[[#Headers],[Id]]:tblMenSorted[[#This Row],[Id]])-1&gt;$BS$11,"",SMALL(tblMen[Id],ROWS(tblMenSorted[[#Headers],[Id]]:tblMenSorted[[#This Row],[Id]])-1))</f>
        <v/>
      </c>
      <c r="BU58" s="6" t="str">
        <f t="array" ref="BU58">IF(ROWS(tblData[[#Headers],[Sorted Name Id]]:tblData[[#This Row],[Sorted Name Id]])-1&gt;$BU$11,"",INDEX(tblData[Sorted Name Id],SMALL(IF(LEN(TRIM(tblData[Surname]))*(tblData[Visa required]="YES"),ROW(tblData[Sorted Name Id])-ROW(tblData[[#Headers],[Sorted Name Id]])),ROWS(tblData[[#Headers],[Sorted Name Id]]:tblData[[#This Row],[Sorted Name Id]])-1)))</f>
        <v/>
      </c>
      <c r="BW58" s="6" t="str">
        <f>IF(ROWS(tblVisasSorted[[#Headers],[Id]]:tblVisasSorted[[#This Row],[Id]])-1&gt;$BW$11,"",SMALL(tblVisas[Id],ROWS(tblVisasSorted[[#Headers],[Id]]:tblVisasSorted[[#This Row],[Id]])-1))</f>
        <v/>
      </c>
      <c r="BY58" s="6" t="str">
        <f t="array" ref="BY58">IF(ROWS(tblData[[#Headers],[Sorted Arr Id]]:tblData[[#This Row],[Sorted Arr Id]])-1&gt;$BY$11,"",INDEX(tblData[Sorted Arr Id],SMALL(IF(LEN(TRIM(tblData[Surname]))*(tblData[Arr DateTime]&gt;0),ROW(tblData[Sorted Arr Id])-ROW(tblData[[#Headers],[Sorted Arr Id]])),ROWS(tblData[[#Headers],[Sorted Arr Id]]:tblData[[#This Row],[Sorted Arr Id]])-1)))</f>
        <v/>
      </c>
      <c r="CA58" s="6" t="str">
        <f>IF(ROWS(tblArrivalSorted[[#Headers],[Id]]:tblArrivalSorted[[#This Row],[Id]])-1&gt;$CA$11,"",SMALL(tblArrival[Id],ROWS(tblArrivalSorted[[#Headers],[Id]]:tblArrivalSorted[[#This Row],[Id]])-1))</f>
        <v/>
      </c>
      <c r="CC58" s="6" t="str">
        <f t="array" ref="CC58">IF(ROWS(tblData[[#Headers],[Sorted Dep Id]]:tblData[[#This Row],[Sorted Dep Id]])-1&gt;$CC$11,"",INDEX(tblData[Sorted Dep Id],SMALL(IF(LEN(TRIM(tblData[Surname]))*(tblData[Dep DateTime]&gt;0),ROW(tblData[Sorted Dep Id])-ROW(tblData[[#Headers],[Sorted Dep Id]])),ROWS(tblData[[#Headers],[Sorted Dep Id]]:tblData[[#This Row],[Sorted Dep Id]])-1)))</f>
        <v/>
      </c>
      <c r="CE58" s="6" t="str">
        <f>IF(ROWS(tblDepartureSorted[[#Headers],[Id]]:tblDepartureSorted[[#This Row],[Id]])-1&gt;$CE$11,"",SMALL(tblDeparture[Id],ROWS(tblDepartureSorted[[#Headers],[Id]]:tblDepartureSorted[[#This Row],[Id]])-1))</f>
        <v/>
      </c>
      <c r="CG58" s="6" t="str">
        <f t="array" ref="CG58">IF(ROWS(tblData[[#Headers],[Id]]:tblData[[#This Row],[Id]])-1&gt;$CG$11,"",INDEX(tblData[Id],SMALL(IF(LEN(TRIM(tblData[Surname])),ROW(tblData[Id])-ROW(tblData[[#Headers],[Id]])),ROWS(tblData[[#Headers],[Id]]:tblData[[#This Row],[Id]])-1)))</f>
        <v/>
      </c>
    </row>
    <row r="59" spans="1:85" s="6" customFormat="1">
      <c r="A59" s="14">
        <f>IF(ISNUMBER(tblData[[#This Row],[SubType2]]),tblData[[#This Row],[SubType2]]*10000+tblData[[#This Row],[No]],1000000+tblData[[#This Row],[No]])</f>
        <v>1000046</v>
      </c>
      <c r="B59" s="14">
        <f>IFERROR(tblData[[#This Row],[Surname Rang]]*1000+tblData[[#This Row],[Given Name Rang]]+tblData[[#This Row],[No]]/1000,"")</f>
        <v>4.5999999999999999E-2</v>
      </c>
      <c r="C59" s="14">
        <f>IFERROR(tblData[[#This Row],[Arr DateTime Rang]]+tblData[[#This Row],[No]]/1000,"")</f>
        <v>110.04600000000001</v>
      </c>
      <c r="D59" s="14">
        <f>IFERROR(tblData[[#This Row],[Dep DateTime Rang]]+tblData[[#This Row],[No]]/1000,"")</f>
        <v>110.04600000000001</v>
      </c>
      <c r="E59" s="362">
        <f t="shared" si="1"/>
        <v>46</v>
      </c>
      <c r="F59" s="370"/>
      <c r="G59" s="331"/>
      <c r="H59" s="328"/>
      <c r="I59" s="329"/>
      <c r="J59" s="330"/>
      <c r="K59" s="369"/>
      <c r="L59" s="375"/>
      <c r="M59" s="331"/>
      <c r="N59" s="331"/>
      <c r="O59" s="331"/>
      <c r="P59" s="329"/>
      <c r="Q59" s="376"/>
      <c r="R59" s="383"/>
      <c r="S59" s="332"/>
      <c r="T59" s="331"/>
      <c r="U59" s="333"/>
      <c r="V59" s="333"/>
      <c r="W59" s="384"/>
      <c r="X59" s="383"/>
      <c r="Y59" s="332"/>
      <c r="Z59" s="331"/>
      <c r="AA59" s="331"/>
      <c r="AB59" s="333"/>
      <c r="AC59" s="384"/>
      <c r="AD59" s="375"/>
      <c r="AE59" s="369"/>
      <c r="AF59" s="397"/>
      <c r="AG59" s="328"/>
      <c r="AH59" s="328"/>
      <c r="AI59" s="328"/>
      <c r="AJ59" s="328"/>
      <c r="AK59" s="328"/>
      <c r="AL59" s="328"/>
      <c r="AM59" s="328"/>
      <c r="AN59" s="398"/>
      <c r="AO59" s="402" t="str">
        <f>IF(ISBLANK(tblData[[#This Row],[Surname]]),"",IF(tblData[[#This Row],[Bill Accred Fee]]=0,"NO","YES"))</f>
        <v/>
      </c>
      <c r="AP59" s="406">
        <f>IF(AND(NOT(ISBLANK(tblData[[#This Row],[Surname]])),COUNTA(tblData[[#This Row],[Day 1]:[Day 9]])=0),1,0)</f>
        <v>0</v>
      </c>
      <c r="AQ59" s="406">
        <f>IF(AND(NOT(ISBLANK(tblData[[#This Row],[Surname]])),tblData[[#This Row],[Position]]="Athlete"),1,0)</f>
        <v>0</v>
      </c>
      <c r="AR59" s="433">
        <f>EntryFee*tblData[[#This Row],[Entry Fee Billable]]</f>
        <v>0</v>
      </c>
      <c r="AS59" s="410" t="e">
        <f>IF(ISBLANK(SelectedCategory),"No Cat!",IF(ISBLANK($F59),0,IFERROR(VLOOKUP(AS$12&amp;", "&amp;tblData[[#This Row],[Day 1]],tblAccommodationCosts[],5,FALSE),0)+IFERROR(VLOOKUP(AS$12&amp;", "&amp;tblData[[#This Row],[Day 2]],tblAccommodationCosts[],5,FALSE),0)+IFERROR(VLOOKUP(AS$12&amp;", "&amp;tblData[[#This Row],[Day 3]],tblAccommodationCosts[],5,FALSE),0)+IFERROR(VLOOKUP(AS$12&amp;", "&amp;tblData[[#This Row],[Day 4]],tblAccommodationCosts[],5,FALSE),0)+IFERROR(VLOOKUP(AS$12&amp;", "&amp;tblData[[#This Row],[Day 5]],tblAccommodationCosts[],5,FALSE),0)+IFERROR(VLOOKUP(AS$12&amp;", "&amp;tblData[[#This Row],[Day 6]],tblAccommodationCosts[],5,FALSE),0)+IFERROR(VLOOKUP(AS$12&amp;", "&amp;tblData[[#This Row],[Day 7]],tblAccommodationCosts[],5,FALSE),0)+IFERROR(VLOOKUP(AS$12&amp;", "&amp;tblData[[#This Row],[Day 8]],tblAccommodationCosts[],5,FALSE),0)+IFERROR(VLOOKUP(AS$12&amp;", "&amp;tblData[[#This Row],[Day 9]],tblAccommodationCosts[],5,FALSE),0)+AccreditationFee*tblData[[#This Row],[Bill Accred Fee]]))+tblData[[#This Row],[Entry Fee]]</f>
        <v>#VALUE!</v>
      </c>
      <c r="AT59" s="324" t="str">
        <f>IFERROR(VLOOKUP(tblData[[#This Row],[Weight Category, Function, and Gender]],tblWeightOrFunction[],3,0),"")</f>
        <v/>
      </c>
      <c r="AU59" s="84" t="str">
        <f>IFERROR(VLOOKUP(tblData[[#This Row],[Weight Category, Function, and Gender]],tblWeightOrFunction[],4,0),"")</f>
        <v/>
      </c>
      <c r="AV59" s="85" t="str">
        <f>IFERROR(VLOOKUP(tblData[[#This Row],[Weight Category, Function, and Gender]],tblWeightOrFunction[],7,0),"")</f>
        <v/>
      </c>
      <c r="AW59" s="84" t="str">
        <f>IFERROR(VLOOKUP(tblData[[#This Row],[Weight Category, Function, and Gender]],tblWeightOrFunction[],6,0),"")</f>
        <v/>
      </c>
      <c r="AX59" s="84" t="str">
        <f>IFERROR(VLOOKUP(tblData[[#This Row],[Weight Category, Function, and Gender]],tblWeightOrFunction[],2,0),"")</f>
        <v/>
      </c>
      <c r="AY59" s="75">
        <f>tblData[[#This Row],[Arr Date]]+tblData[[#This Row],[Arr Time]]</f>
        <v>0</v>
      </c>
      <c r="AZ59" s="75">
        <f>tblData[[#This Row],[Dep Date]]+tblData[[#This Row],[Dep Time]]</f>
        <v>0</v>
      </c>
      <c r="BA59" s="72">
        <f>COUNTIF(tblData[Surname],"&lt;="&amp;tblData[Surname])</f>
        <v>0</v>
      </c>
      <c r="BB59" s="72">
        <f>COUNTIF(tblData[Given name],"&lt;="&amp;tblData[Given name])</f>
        <v>0</v>
      </c>
      <c r="BC59" s="72">
        <f>COUNTIF(tblData[Arr DateTime],"&lt;="&amp;tblData[Arr DateTime])</f>
        <v>110</v>
      </c>
      <c r="BD59" s="72">
        <f>COUNTIF(tblData[Dep DateTime],"&lt;="&amp;tblData[Dep DateTime])</f>
        <v>110</v>
      </c>
      <c r="BE59" s="72">
        <f>COUNTIF(tblData[ShuttleAtDeparture],"&lt;="&amp;tblData[ShuttleAtDeparture])</f>
        <v>0</v>
      </c>
      <c r="BI59" s="6" t="str">
        <f t="array" ref="BI59">IF(ROWS(tblData[[#Headers],[Id]]:tblData[[#This Row],[Id]])-1&gt;$BI$11,"",INDEX(tblData[Id],SMALL(IF(LEN(TRIM(tblData[Surname]))*((tblData[Type]=$BI$9)+(tblData[Type]=$BI$10)),ROW(tblData[Id])-ROW(tblData[[#Headers],[Id]])),ROWS(tblData[[#Headers],[Id]]:tblData[[#This Row],[Id]])-1)))</f>
        <v/>
      </c>
      <c r="BK59" s="6" t="str">
        <f>IF(ROWS(tblCoachesAndOfficialsSorted[[#Headers],[Id]]:tblCoachesAndOfficialsSorted[[#This Row],[Id]])-1&gt;$BK$11,"",SMALL(tblCoachesAndOfficials[Id],ROWS(tblCoachesAndOfficialsSorted[[#Headers],[Id]]:tblCoachesAndOfficialsSorted[[#This Row],[Id]])-1))</f>
        <v/>
      </c>
      <c r="BM59" s="6" t="str">
        <f t="array" ref="BM59">IF(ROWS(tblData[[#Headers],[Id]]:tblData[[#This Row],[Id]])-1&gt;$BM$11,"",INDEX(tblData[Id],SMALL(IF(LEN(TRIM(tblData[Surname]))*(tblData[Type]=$BM$9),ROW(tblData[Id])-ROW(tblData[[#Headers],[Id]])),ROWS(tblData[[#Headers],[Id]]:tblData[[#This Row],[Id]])-1)))</f>
        <v/>
      </c>
      <c r="BO59" s="6" t="str">
        <f>IF(ROWS(tblWomenSorted[[#Headers],[Id]]:tblWomenSorted[[#This Row],[Id]])-1&gt;$BO$11,"",SMALL(tblWomen[Id],ROWS(tblWomenSorted[[#Headers],[Id]]:tblWomenSorted[[#This Row],[Id]])-1))</f>
        <v/>
      </c>
      <c r="BP59" s="17"/>
      <c r="BQ59" s="6" t="str">
        <f t="array" ref="BQ59">IF(ROWS(tblData[[#Headers],[Id]]:tblData[[#This Row],[Id]])-1&gt;$BQ$11,"",INDEX(tblData[Id],SMALL(IF(LEN(TRIM(tblData[Surname]))*(tblData[Type]=$BQ$9),ROW(tblData[Id])-ROW(tblData[[#Headers],[Id]])),ROWS(tblData[[#Headers],[Id]]:tblData[[#This Row],[Id]])-1)))</f>
        <v/>
      </c>
      <c r="BS59" s="6" t="str">
        <f>IF(ROWS(tblMenSorted[[#Headers],[Id]]:tblMenSorted[[#This Row],[Id]])-1&gt;$BS$11,"",SMALL(tblMen[Id],ROWS(tblMenSorted[[#Headers],[Id]]:tblMenSorted[[#This Row],[Id]])-1))</f>
        <v/>
      </c>
      <c r="BU59" s="6" t="str">
        <f t="array" ref="BU59">IF(ROWS(tblData[[#Headers],[Sorted Name Id]]:tblData[[#This Row],[Sorted Name Id]])-1&gt;$BU$11,"",INDEX(tblData[Sorted Name Id],SMALL(IF(LEN(TRIM(tblData[Surname]))*(tblData[Visa required]="YES"),ROW(tblData[Sorted Name Id])-ROW(tblData[[#Headers],[Sorted Name Id]])),ROWS(tblData[[#Headers],[Sorted Name Id]]:tblData[[#This Row],[Sorted Name Id]])-1)))</f>
        <v/>
      </c>
      <c r="BW59" s="6" t="str">
        <f>IF(ROWS(tblVisasSorted[[#Headers],[Id]]:tblVisasSorted[[#This Row],[Id]])-1&gt;$BW$11,"",SMALL(tblVisas[Id],ROWS(tblVisasSorted[[#Headers],[Id]]:tblVisasSorted[[#This Row],[Id]])-1))</f>
        <v/>
      </c>
      <c r="BY59" s="6" t="str">
        <f t="array" ref="BY59">IF(ROWS(tblData[[#Headers],[Sorted Arr Id]]:tblData[[#This Row],[Sorted Arr Id]])-1&gt;$BY$11,"",INDEX(tblData[Sorted Arr Id],SMALL(IF(LEN(TRIM(tblData[Surname]))*(tblData[Arr DateTime]&gt;0),ROW(tblData[Sorted Arr Id])-ROW(tblData[[#Headers],[Sorted Arr Id]])),ROWS(tblData[[#Headers],[Sorted Arr Id]]:tblData[[#This Row],[Sorted Arr Id]])-1)))</f>
        <v/>
      </c>
      <c r="CA59" s="6" t="str">
        <f>IF(ROWS(tblArrivalSorted[[#Headers],[Id]]:tblArrivalSorted[[#This Row],[Id]])-1&gt;$CA$11,"",SMALL(tblArrival[Id],ROWS(tblArrivalSorted[[#Headers],[Id]]:tblArrivalSorted[[#This Row],[Id]])-1))</f>
        <v/>
      </c>
      <c r="CC59" s="6" t="str">
        <f t="array" ref="CC59">IF(ROWS(tblData[[#Headers],[Sorted Dep Id]]:tblData[[#This Row],[Sorted Dep Id]])-1&gt;$CC$11,"",INDEX(tblData[Sorted Dep Id],SMALL(IF(LEN(TRIM(tblData[Surname]))*(tblData[Dep DateTime]&gt;0),ROW(tblData[Sorted Dep Id])-ROW(tblData[[#Headers],[Sorted Dep Id]])),ROWS(tblData[[#Headers],[Sorted Dep Id]]:tblData[[#This Row],[Sorted Dep Id]])-1)))</f>
        <v/>
      </c>
      <c r="CE59" s="6" t="str">
        <f>IF(ROWS(tblDepartureSorted[[#Headers],[Id]]:tblDepartureSorted[[#This Row],[Id]])-1&gt;$CE$11,"",SMALL(tblDeparture[Id],ROWS(tblDepartureSorted[[#Headers],[Id]]:tblDepartureSorted[[#This Row],[Id]])-1))</f>
        <v/>
      </c>
      <c r="CG59" s="6" t="str">
        <f t="array" ref="CG59">IF(ROWS(tblData[[#Headers],[Id]]:tblData[[#This Row],[Id]])-1&gt;$CG$11,"",INDEX(tblData[Id],SMALL(IF(LEN(TRIM(tblData[Surname])),ROW(tblData[Id])-ROW(tblData[[#Headers],[Id]])),ROWS(tblData[[#Headers],[Id]]:tblData[[#This Row],[Id]])-1)))</f>
        <v/>
      </c>
    </row>
    <row r="60" spans="1:85" s="6" customFormat="1">
      <c r="A60" s="14">
        <f>IF(ISNUMBER(tblData[[#This Row],[SubType2]]),tblData[[#This Row],[SubType2]]*10000+tblData[[#This Row],[No]],1000000+tblData[[#This Row],[No]])</f>
        <v>1000047</v>
      </c>
      <c r="B60" s="14">
        <f>IFERROR(tblData[[#This Row],[Surname Rang]]*1000+tblData[[#This Row],[Given Name Rang]]+tblData[[#This Row],[No]]/1000,"")</f>
        <v>4.7E-2</v>
      </c>
      <c r="C60" s="14">
        <f>IFERROR(tblData[[#This Row],[Arr DateTime Rang]]+tblData[[#This Row],[No]]/1000,"")</f>
        <v>110.047</v>
      </c>
      <c r="D60" s="14">
        <f>IFERROR(tblData[[#This Row],[Dep DateTime Rang]]+tblData[[#This Row],[No]]/1000,"")</f>
        <v>110.047</v>
      </c>
      <c r="E60" s="362">
        <f t="shared" si="1"/>
        <v>47</v>
      </c>
      <c r="F60" s="370"/>
      <c r="G60" s="331"/>
      <c r="H60" s="328"/>
      <c r="I60" s="329"/>
      <c r="J60" s="330"/>
      <c r="K60" s="369"/>
      <c r="L60" s="375"/>
      <c r="M60" s="331"/>
      <c r="N60" s="331"/>
      <c r="O60" s="331"/>
      <c r="P60" s="329"/>
      <c r="Q60" s="376"/>
      <c r="R60" s="383"/>
      <c r="S60" s="332"/>
      <c r="T60" s="331"/>
      <c r="U60" s="333"/>
      <c r="V60" s="333"/>
      <c r="W60" s="384"/>
      <c r="X60" s="383"/>
      <c r="Y60" s="332"/>
      <c r="Z60" s="331"/>
      <c r="AA60" s="331"/>
      <c r="AB60" s="333"/>
      <c r="AC60" s="384"/>
      <c r="AD60" s="375"/>
      <c r="AE60" s="369"/>
      <c r="AF60" s="397"/>
      <c r="AG60" s="328"/>
      <c r="AH60" s="328"/>
      <c r="AI60" s="328"/>
      <c r="AJ60" s="328"/>
      <c r="AK60" s="328"/>
      <c r="AL60" s="328"/>
      <c r="AM60" s="328"/>
      <c r="AN60" s="398"/>
      <c r="AO60" s="402" t="str">
        <f>IF(ISBLANK(tblData[[#This Row],[Surname]]),"",IF(tblData[[#This Row],[Bill Accred Fee]]=0,"NO","YES"))</f>
        <v/>
      </c>
      <c r="AP60" s="406">
        <f>IF(AND(NOT(ISBLANK(tblData[[#This Row],[Surname]])),COUNTA(tblData[[#This Row],[Day 1]:[Day 9]])=0),1,0)</f>
        <v>0</v>
      </c>
      <c r="AQ60" s="406">
        <f>IF(AND(NOT(ISBLANK(tblData[[#This Row],[Surname]])),tblData[[#This Row],[Position]]="Athlete"),1,0)</f>
        <v>0</v>
      </c>
      <c r="AR60" s="433">
        <f>EntryFee*tblData[[#This Row],[Entry Fee Billable]]</f>
        <v>0</v>
      </c>
      <c r="AS60" s="410" t="e">
        <f>IF(ISBLANK(SelectedCategory),"No Cat!",IF(ISBLANK($F60),0,IFERROR(VLOOKUP(AS$12&amp;", "&amp;tblData[[#This Row],[Day 1]],tblAccommodationCosts[],5,FALSE),0)+IFERROR(VLOOKUP(AS$12&amp;", "&amp;tblData[[#This Row],[Day 2]],tblAccommodationCosts[],5,FALSE),0)+IFERROR(VLOOKUP(AS$12&amp;", "&amp;tblData[[#This Row],[Day 3]],tblAccommodationCosts[],5,FALSE),0)+IFERROR(VLOOKUP(AS$12&amp;", "&amp;tblData[[#This Row],[Day 4]],tblAccommodationCosts[],5,FALSE),0)+IFERROR(VLOOKUP(AS$12&amp;", "&amp;tblData[[#This Row],[Day 5]],tblAccommodationCosts[],5,FALSE),0)+IFERROR(VLOOKUP(AS$12&amp;", "&amp;tblData[[#This Row],[Day 6]],tblAccommodationCosts[],5,FALSE),0)+IFERROR(VLOOKUP(AS$12&amp;", "&amp;tblData[[#This Row],[Day 7]],tblAccommodationCosts[],5,FALSE),0)+IFERROR(VLOOKUP(AS$12&amp;", "&amp;tblData[[#This Row],[Day 8]],tblAccommodationCosts[],5,FALSE),0)+IFERROR(VLOOKUP(AS$12&amp;", "&amp;tblData[[#This Row],[Day 9]],tblAccommodationCosts[],5,FALSE),0)+AccreditationFee*tblData[[#This Row],[Bill Accred Fee]]))+tblData[[#This Row],[Entry Fee]]</f>
        <v>#VALUE!</v>
      </c>
      <c r="AT60" s="324" t="str">
        <f>IFERROR(VLOOKUP(tblData[[#This Row],[Weight Category, Function, and Gender]],tblWeightOrFunction[],3,0),"")</f>
        <v/>
      </c>
      <c r="AU60" s="84" t="str">
        <f>IFERROR(VLOOKUP(tblData[[#This Row],[Weight Category, Function, and Gender]],tblWeightOrFunction[],4,0),"")</f>
        <v/>
      </c>
      <c r="AV60" s="85" t="str">
        <f>IFERROR(VLOOKUP(tblData[[#This Row],[Weight Category, Function, and Gender]],tblWeightOrFunction[],7,0),"")</f>
        <v/>
      </c>
      <c r="AW60" s="84" t="str">
        <f>IFERROR(VLOOKUP(tblData[[#This Row],[Weight Category, Function, and Gender]],tblWeightOrFunction[],6,0),"")</f>
        <v/>
      </c>
      <c r="AX60" s="84" t="str">
        <f>IFERROR(VLOOKUP(tblData[[#This Row],[Weight Category, Function, and Gender]],tblWeightOrFunction[],2,0),"")</f>
        <v/>
      </c>
      <c r="AY60" s="75">
        <f>tblData[[#This Row],[Arr Date]]+tblData[[#This Row],[Arr Time]]</f>
        <v>0</v>
      </c>
      <c r="AZ60" s="75">
        <f>tblData[[#This Row],[Dep Date]]+tblData[[#This Row],[Dep Time]]</f>
        <v>0</v>
      </c>
      <c r="BA60" s="72">
        <f>COUNTIF(tblData[Surname],"&lt;="&amp;tblData[Surname])</f>
        <v>0</v>
      </c>
      <c r="BB60" s="72">
        <f>COUNTIF(tblData[Given name],"&lt;="&amp;tblData[Given name])</f>
        <v>0</v>
      </c>
      <c r="BC60" s="72">
        <f>COUNTIF(tblData[Arr DateTime],"&lt;="&amp;tblData[Arr DateTime])</f>
        <v>110</v>
      </c>
      <c r="BD60" s="72">
        <f>COUNTIF(tblData[Dep DateTime],"&lt;="&amp;tblData[Dep DateTime])</f>
        <v>110</v>
      </c>
      <c r="BE60" s="72">
        <f>COUNTIF(tblData[ShuttleAtDeparture],"&lt;="&amp;tblData[ShuttleAtDeparture])</f>
        <v>0</v>
      </c>
      <c r="BI60" s="6" t="str">
        <f t="array" ref="BI60">IF(ROWS(tblData[[#Headers],[Id]]:tblData[[#This Row],[Id]])-1&gt;$BI$11,"",INDEX(tblData[Id],SMALL(IF(LEN(TRIM(tblData[Surname]))*((tblData[Type]=$BI$9)+(tblData[Type]=$BI$10)),ROW(tblData[Id])-ROW(tblData[[#Headers],[Id]])),ROWS(tblData[[#Headers],[Id]]:tblData[[#This Row],[Id]])-1)))</f>
        <v/>
      </c>
      <c r="BK60" s="6" t="str">
        <f>IF(ROWS(tblCoachesAndOfficialsSorted[[#Headers],[Id]]:tblCoachesAndOfficialsSorted[[#This Row],[Id]])-1&gt;$BK$11,"",SMALL(tblCoachesAndOfficials[Id],ROWS(tblCoachesAndOfficialsSorted[[#Headers],[Id]]:tblCoachesAndOfficialsSorted[[#This Row],[Id]])-1))</f>
        <v/>
      </c>
      <c r="BM60" s="6" t="str">
        <f t="array" ref="BM60">IF(ROWS(tblData[[#Headers],[Id]]:tblData[[#This Row],[Id]])-1&gt;$BM$11,"",INDEX(tblData[Id],SMALL(IF(LEN(TRIM(tblData[Surname]))*(tblData[Type]=$BM$9),ROW(tblData[Id])-ROW(tblData[[#Headers],[Id]])),ROWS(tblData[[#Headers],[Id]]:tblData[[#This Row],[Id]])-1)))</f>
        <v/>
      </c>
      <c r="BO60" s="6" t="str">
        <f>IF(ROWS(tblWomenSorted[[#Headers],[Id]]:tblWomenSorted[[#This Row],[Id]])-1&gt;$BO$11,"",SMALL(tblWomen[Id],ROWS(tblWomenSorted[[#Headers],[Id]]:tblWomenSorted[[#This Row],[Id]])-1))</f>
        <v/>
      </c>
      <c r="BP60" s="17"/>
      <c r="BQ60" s="6" t="str">
        <f t="array" ref="BQ60">IF(ROWS(tblData[[#Headers],[Id]]:tblData[[#This Row],[Id]])-1&gt;$BQ$11,"",INDEX(tblData[Id],SMALL(IF(LEN(TRIM(tblData[Surname]))*(tblData[Type]=$BQ$9),ROW(tblData[Id])-ROW(tblData[[#Headers],[Id]])),ROWS(tblData[[#Headers],[Id]]:tblData[[#This Row],[Id]])-1)))</f>
        <v/>
      </c>
      <c r="BS60" s="6" t="str">
        <f>IF(ROWS(tblMenSorted[[#Headers],[Id]]:tblMenSorted[[#This Row],[Id]])-1&gt;$BS$11,"",SMALL(tblMen[Id],ROWS(tblMenSorted[[#Headers],[Id]]:tblMenSorted[[#This Row],[Id]])-1))</f>
        <v/>
      </c>
      <c r="BU60" s="6" t="str">
        <f t="array" ref="BU60">IF(ROWS(tblData[[#Headers],[Sorted Name Id]]:tblData[[#This Row],[Sorted Name Id]])-1&gt;$BU$11,"",INDEX(tblData[Sorted Name Id],SMALL(IF(LEN(TRIM(tblData[Surname]))*(tblData[Visa required]="YES"),ROW(tblData[Sorted Name Id])-ROW(tblData[[#Headers],[Sorted Name Id]])),ROWS(tblData[[#Headers],[Sorted Name Id]]:tblData[[#This Row],[Sorted Name Id]])-1)))</f>
        <v/>
      </c>
      <c r="BW60" s="6" t="str">
        <f>IF(ROWS(tblVisasSorted[[#Headers],[Id]]:tblVisasSorted[[#This Row],[Id]])-1&gt;$BW$11,"",SMALL(tblVisas[Id],ROWS(tblVisasSorted[[#Headers],[Id]]:tblVisasSorted[[#This Row],[Id]])-1))</f>
        <v/>
      </c>
      <c r="BY60" s="6" t="str">
        <f t="array" ref="BY60">IF(ROWS(tblData[[#Headers],[Sorted Arr Id]]:tblData[[#This Row],[Sorted Arr Id]])-1&gt;$BY$11,"",INDEX(tblData[Sorted Arr Id],SMALL(IF(LEN(TRIM(tblData[Surname]))*(tblData[Arr DateTime]&gt;0),ROW(tblData[Sorted Arr Id])-ROW(tblData[[#Headers],[Sorted Arr Id]])),ROWS(tblData[[#Headers],[Sorted Arr Id]]:tblData[[#This Row],[Sorted Arr Id]])-1)))</f>
        <v/>
      </c>
      <c r="CA60" s="6" t="str">
        <f>IF(ROWS(tblArrivalSorted[[#Headers],[Id]]:tblArrivalSorted[[#This Row],[Id]])-1&gt;$CA$11,"",SMALL(tblArrival[Id],ROWS(tblArrivalSorted[[#Headers],[Id]]:tblArrivalSorted[[#This Row],[Id]])-1))</f>
        <v/>
      </c>
      <c r="CC60" s="6" t="str">
        <f t="array" ref="CC60">IF(ROWS(tblData[[#Headers],[Sorted Dep Id]]:tblData[[#This Row],[Sorted Dep Id]])-1&gt;$CC$11,"",INDEX(tblData[Sorted Dep Id],SMALL(IF(LEN(TRIM(tblData[Surname]))*(tblData[Dep DateTime]&gt;0),ROW(tblData[Sorted Dep Id])-ROW(tblData[[#Headers],[Sorted Dep Id]])),ROWS(tblData[[#Headers],[Sorted Dep Id]]:tblData[[#This Row],[Sorted Dep Id]])-1)))</f>
        <v/>
      </c>
      <c r="CE60" s="6" t="str">
        <f>IF(ROWS(tblDepartureSorted[[#Headers],[Id]]:tblDepartureSorted[[#This Row],[Id]])-1&gt;$CE$11,"",SMALL(tblDeparture[Id],ROWS(tblDepartureSorted[[#Headers],[Id]]:tblDepartureSorted[[#This Row],[Id]])-1))</f>
        <v/>
      </c>
      <c r="CG60" s="6" t="str">
        <f t="array" ref="CG60">IF(ROWS(tblData[[#Headers],[Id]]:tblData[[#This Row],[Id]])-1&gt;$CG$11,"",INDEX(tblData[Id],SMALL(IF(LEN(TRIM(tblData[Surname])),ROW(tblData[Id])-ROW(tblData[[#Headers],[Id]])),ROWS(tblData[[#Headers],[Id]]:tblData[[#This Row],[Id]])-1)))</f>
        <v/>
      </c>
    </row>
    <row r="61" spans="1:85" s="6" customFormat="1">
      <c r="A61" s="14">
        <f>IF(ISNUMBER(tblData[[#This Row],[SubType2]]),tblData[[#This Row],[SubType2]]*10000+tblData[[#This Row],[No]],1000000+tblData[[#This Row],[No]])</f>
        <v>1000048</v>
      </c>
      <c r="B61" s="14">
        <f>IFERROR(tblData[[#This Row],[Surname Rang]]*1000+tblData[[#This Row],[Given Name Rang]]+tblData[[#This Row],[No]]/1000,"")</f>
        <v>4.8000000000000001E-2</v>
      </c>
      <c r="C61" s="14">
        <f>IFERROR(tblData[[#This Row],[Arr DateTime Rang]]+tblData[[#This Row],[No]]/1000,"")</f>
        <v>110.048</v>
      </c>
      <c r="D61" s="14">
        <f>IFERROR(tblData[[#This Row],[Dep DateTime Rang]]+tblData[[#This Row],[No]]/1000,"")</f>
        <v>110.048</v>
      </c>
      <c r="E61" s="362">
        <f t="shared" si="1"/>
        <v>48</v>
      </c>
      <c r="F61" s="370"/>
      <c r="G61" s="331"/>
      <c r="H61" s="328"/>
      <c r="I61" s="329"/>
      <c r="J61" s="330"/>
      <c r="K61" s="369"/>
      <c r="L61" s="375"/>
      <c r="M61" s="331"/>
      <c r="N61" s="331"/>
      <c r="O61" s="331"/>
      <c r="P61" s="329"/>
      <c r="Q61" s="376"/>
      <c r="R61" s="383"/>
      <c r="S61" s="332"/>
      <c r="T61" s="331"/>
      <c r="U61" s="333"/>
      <c r="V61" s="333"/>
      <c r="W61" s="384"/>
      <c r="X61" s="383"/>
      <c r="Y61" s="332"/>
      <c r="Z61" s="331"/>
      <c r="AA61" s="331"/>
      <c r="AB61" s="333"/>
      <c r="AC61" s="384"/>
      <c r="AD61" s="375"/>
      <c r="AE61" s="369"/>
      <c r="AF61" s="397"/>
      <c r="AG61" s="328"/>
      <c r="AH61" s="328"/>
      <c r="AI61" s="328"/>
      <c r="AJ61" s="328"/>
      <c r="AK61" s="328"/>
      <c r="AL61" s="328"/>
      <c r="AM61" s="328"/>
      <c r="AN61" s="398"/>
      <c r="AO61" s="402" t="str">
        <f>IF(ISBLANK(tblData[[#This Row],[Surname]]),"",IF(tblData[[#This Row],[Bill Accred Fee]]=0,"NO","YES"))</f>
        <v/>
      </c>
      <c r="AP61" s="406">
        <f>IF(AND(NOT(ISBLANK(tblData[[#This Row],[Surname]])),COUNTA(tblData[[#This Row],[Day 1]:[Day 9]])=0),1,0)</f>
        <v>0</v>
      </c>
      <c r="AQ61" s="406">
        <f>IF(AND(NOT(ISBLANK(tblData[[#This Row],[Surname]])),tblData[[#This Row],[Position]]="Athlete"),1,0)</f>
        <v>0</v>
      </c>
      <c r="AR61" s="433">
        <f>EntryFee*tblData[[#This Row],[Entry Fee Billable]]</f>
        <v>0</v>
      </c>
      <c r="AS61" s="410" t="e">
        <f>IF(ISBLANK(SelectedCategory),"No Cat!",IF(ISBLANK($F61),0,IFERROR(VLOOKUP(AS$12&amp;", "&amp;tblData[[#This Row],[Day 1]],tblAccommodationCosts[],5,FALSE),0)+IFERROR(VLOOKUP(AS$12&amp;", "&amp;tblData[[#This Row],[Day 2]],tblAccommodationCosts[],5,FALSE),0)+IFERROR(VLOOKUP(AS$12&amp;", "&amp;tblData[[#This Row],[Day 3]],tblAccommodationCosts[],5,FALSE),0)+IFERROR(VLOOKUP(AS$12&amp;", "&amp;tblData[[#This Row],[Day 4]],tblAccommodationCosts[],5,FALSE),0)+IFERROR(VLOOKUP(AS$12&amp;", "&amp;tblData[[#This Row],[Day 5]],tblAccommodationCosts[],5,FALSE),0)+IFERROR(VLOOKUP(AS$12&amp;", "&amp;tblData[[#This Row],[Day 6]],tblAccommodationCosts[],5,FALSE),0)+IFERROR(VLOOKUP(AS$12&amp;", "&amp;tblData[[#This Row],[Day 7]],tblAccommodationCosts[],5,FALSE),0)+IFERROR(VLOOKUP(AS$12&amp;", "&amp;tblData[[#This Row],[Day 8]],tblAccommodationCosts[],5,FALSE),0)+IFERROR(VLOOKUP(AS$12&amp;", "&amp;tblData[[#This Row],[Day 9]],tblAccommodationCosts[],5,FALSE),0)+AccreditationFee*tblData[[#This Row],[Bill Accred Fee]]))+tblData[[#This Row],[Entry Fee]]</f>
        <v>#VALUE!</v>
      </c>
      <c r="AT61" s="324" t="str">
        <f>IFERROR(VLOOKUP(tblData[[#This Row],[Weight Category, Function, and Gender]],tblWeightOrFunction[],3,0),"")</f>
        <v/>
      </c>
      <c r="AU61" s="84" t="str">
        <f>IFERROR(VLOOKUP(tblData[[#This Row],[Weight Category, Function, and Gender]],tblWeightOrFunction[],4,0),"")</f>
        <v/>
      </c>
      <c r="AV61" s="85" t="str">
        <f>IFERROR(VLOOKUP(tblData[[#This Row],[Weight Category, Function, and Gender]],tblWeightOrFunction[],7,0),"")</f>
        <v/>
      </c>
      <c r="AW61" s="84" t="str">
        <f>IFERROR(VLOOKUP(tblData[[#This Row],[Weight Category, Function, and Gender]],tblWeightOrFunction[],6,0),"")</f>
        <v/>
      </c>
      <c r="AX61" s="84" t="str">
        <f>IFERROR(VLOOKUP(tblData[[#This Row],[Weight Category, Function, and Gender]],tblWeightOrFunction[],2,0),"")</f>
        <v/>
      </c>
      <c r="AY61" s="75">
        <f>tblData[[#This Row],[Arr Date]]+tblData[[#This Row],[Arr Time]]</f>
        <v>0</v>
      </c>
      <c r="AZ61" s="75">
        <f>tblData[[#This Row],[Dep Date]]+tblData[[#This Row],[Dep Time]]</f>
        <v>0</v>
      </c>
      <c r="BA61" s="72">
        <f>COUNTIF(tblData[Surname],"&lt;="&amp;tblData[Surname])</f>
        <v>0</v>
      </c>
      <c r="BB61" s="72">
        <f>COUNTIF(tblData[Given name],"&lt;="&amp;tblData[Given name])</f>
        <v>0</v>
      </c>
      <c r="BC61" s="72">
        <f>COUNTIF(tblData[Arr DateTime],"&lt;="&amp;tblData[Arr DateTime])</f>
        <v>110</v>
      </c>
      <c r="BD61" s="72">
        <f>COUNTIF(tblData[Dep DateTime],"&lt;="&amp;tblData[Dep DateTime])</f>
        <v>110</v>
      </c>
      <c r="BE61" s="72">
        <f>COUNTIF(tblData[ShuttleAtDeparture],"&lt;="&amp;tblData[ShuttleAtDeparture])</f>
        <v>0</v>
      </c>
      <c r="BI61" s="6" t="str">
        <f t="array" ref="BI61">IF(ROWS(tblData[[#Headers],[Id]]:tblData[[#This Row],[Id]])-1&gt;$BI$11,"",INDEX(tblData[Id],SMALL(IF(LEN(TRIM(tblData[Surname]))*((tblData[Type]=$BI$9)+(tblData[Type]=$BI$10)),ROW(tblData[Id])-ROW(tblData[[#Headers],[Id]])),ROWS(tblData[[#Headers],[Id]]:tblData[[#This Row],[Id]])-1)))</f>
        <v/>
      </c>
      <c r="BK61" s="6" t="str">
        <f>IF(ROWS(tblCoachesAndOfficialsSorted[[#Headers],[Id]]:tblCoachesAndOfficialsSorted[[#This Row],[Id]])-1&gt;$BK$11,"",SMALL(tblCoachesAndOfficials[Id],ROWS(tblCoachesAndOfficialsSorted[[#Headers],[Id]]:tblCoachesAndOfficialsSorted[[#This Row],[Id]])-1))</f>
        <v/>
      </c>
      <c r="BM61" s="6" t="str">
        <f t="array" ref="BM61">IF(ROWS(tblData[[#Headers],[Id]]:tblData[[#This Row],[Id]])-1&gt;$BM$11,"",INDEX(tblData[Id],SMALL(IF(LEN(TRIM(tblData[Surname]))*(tblData[Type]=$BM$9),ROW(tblData[Id])-ROW(tblData[[#Headers],[Id]])),ROWS(tblData[[#Headers],[Id]]:tblData[[#This Row],[Id]])-1)))</f>
        <v/>
      </c>
      <c r="BO61" s="6" t="str">
        <f>IF(ROWS(tblWomenSorted[[#Headers],[Id]]:tblWomenSorted[[#This Row],[Id]])-1&gt;$BO$11,"",SMALL(tblWomen[Id],ROWS(tblWomenSorted[[#Headers],[Id]]:tblWomenSorted[[#This Row],[Id]])-1))</f>
        <v/>
      </c>
      <c r="BP61" s="17"/>
      <c r="BQ61" s="6" t="str">
        <f t="array" ref="BQ61">IF(ROWS(tblData[[#Headers],[Id]]:tblData[[#This Row],[Id]])-1&gt;$BQ$11,"",INDEX(tblData[Id],SMALL(IF(LEN(TRIM(tblData[Surname]))*(tblData[Type]=$BQ$9),ROW(tblData[Id])-ROW(tblData[[#Headers],[Id]])),ROWS(tblData[[#Headers],[Id]]:tblData[[#This Row],[Id]])-1)))</f>
        <v/>
      </c>
      <c r="BS61" s="6" t="str">
        <f>IF(ROWS(tblMenSorted[[#Headers],[Id]]:tblMenSorted[[#This Row],[Id]])-1&gt;$BS$11,"",SMALL(tblMen[Id],ROWS(tblMenSorted[[#Headers],[Id]]:tblMenSorted[[#This Row],[Id]])-1))</f>
        <v/>
      </c>
      <c r="BU61" s="6" t="str">
        <f t="array" ref="BU61">IF(ROWS(tblData[[#Headers],[Sorted Name Id]]:tblData[[#This Row],[Sorted Name Id]])-1&gt;$BU$11,"",INDEX(tblData[Sorted Name Id],SMALL(IF(LEN(TRIM(tblData[Surname]))*(tblData[Visa required]="YES"),ROW(tblData[Sorted Name Id])-ROW(tblData[[#Headers],[Sorted Name Id]])),ROWS(tblData[[#Headers],[Sorted Name Id]]:tblData[[#This Row],[Sorted Name Id]])-1)))</f>
        <v/>
      </c>
      <c r="BW61" s="6" t="str">
        <f>IF(ROWS(tblVisasSorted[[#Headers],[Id]]:tblVisasSorted[[#This Row],[Id]])-1&gt;$BW$11,"",SMALL(tblVisas[Id],ROWS(tblVisasSorted[[#Headers],[Id]]:tblVisasSorted[[#This Row],[Id]])-1))</f>
        <v/>
      </c>
      <c r="BY61" s="6" t="str">
        <f t="array" ref="BY61">IF(ROWS(tblData[[#Headers],[Sorted Arr Id]]:tblData[[#This Row],[Sorted Arr Id]])-1&gt;$BY$11,"",INDEX(tblData[Sorted Arr Id],SMALL(IF(LEN(TRIM(tblData[Surname]))*(tblData[Arr DateTime]&gt;0),ROW(tblData[Sorted Arr Id])-ROW(tblData[[#Headers],[Sorted Arr Id]])),ROWS(tblData[[#Headers],[Sorted Arr Id]]:tblData[[#This Row],[Sorted Arr Id]])-1)))</f>
        <v/>
      </c>
      <c r="CA61" s="6" t="str">
        <f>IF(ROWS(tblArrivalSorted[[#Headers],[Id]]:tblArrivalSorted[[#This Row],[Id]])-1&gt;$CA$11,"",SMALL(tblArrival[Id],ROWS(tblArrivalSorted[[#Headers],[Id]]:tblArrivalSorted[[#This Row],[Id]])-1))</f>
        <v/>
      </c>
      <c r="CC61" s="6" t="str">
        <f t="array" ref="CC61">IF(ROWS(tblData[[#Headers],[Sorted Dep Id]]:tblData[[#This Row],[Sorted Dep Id]])-1&gt;$CC$11,"",INDEX(tblData[Sorted Dep Id],SMALL(IF(LEN(TRIM(tblData[Surname]))*(tblData[Dep DateTime]&gt;0),ROW(tblData[Sorted Dep Id])-ROW(tblData[[#Headers],[Sorted Dep Id]])),ROWS(tblData[[#Headers],[Sorted Dep Id]]:tblData[[#This Row],[Sorted Dep Id]])-1)))</f>
        <v/>
      </c>
      <c r="CE61" s="6" t="str">
        <f>IF(ROWS(tblDepartureSorted[[#Headers],[Id]]:tblDepartureSorted[[#This Row],[Id]])-1&gt;$CE$11,"",SMALL(tblDeparture[Id],ROWS(tblDepartureSorted[[#Headers],[Id]]:tblDepartureSorted[[#This Row],[Id]])-1))</f>
        <v/>
      </c>
      <c r="CG61" s="6" t="str">
        <f t="array" ref="CG61">IF(ROWS(tblData[[#Headers],[Id]]:tblData[[#This Row],[Id]])-1&gt;$CG$11,"",INDEX(tblData[Id],SMALL(IF(LEN(TRIM(tblData[Surname])),ROW(tblData[Id])-ROW(tblData[[#Headers],[Id]])),ROWS(tblData[[#Headers],[Id]]:tblData[[#This Row],[Id]])-1)))</f>
        <v/>
      </c>
    </row>
    <row r="62" spans="1:85" s="6" customFormat="1">
      <c r="A62" s="14">
        <f>IF(ISNUMBER(tblData[[#This Row],[SubType2]]),tblData[[#This Row],[SubType2]]*10000+tblData[[#This Row],[No]],1000000+tblData[[#This Row],[No]])</f>
        <v>1000049</v>
      </c>
      <c r="B62" s="14">
        <f>IFERROR(tblData[[#This Row],[Surname Rang]]*1000+tblData[[#This Row],[Given Name Rang]]+tblData[[#This Row],[No]]/1000,"")</f>
        <v>4.9000000000000002E-2</v>
      </c>
      <c r="C62" s="14">
        <f>IFERROR(tblData[[#This Row],[Arr DateTime Rang]]+tblData[[#This Row],[No]]/1000,"")</f>
        <v>110.04900000000001</v>
      </c>
      <c r="D62" s="14">
        <f>IFERROR(tblData[[#This Row],[Dep DateTime Rang]]+tblData[[#This Row],[No]]/1000,"")</f>
        <v>110.04900000000001</v>
      </c>
      <c r="E62" s="362">
        <f t="shared" si="1"/>
        <v>49</v>
      </c>
      <c r="F62" s="370"/>
      <c r="G62" s="331"/>
      <c r="H62" s="328"/>
      <c r="I62" s="329"/>
      <c r="J62" s="330"/>
      <c r="K62" s="369"/>
      <c r="L62" s="375"/>
      <c r="M62" s="331"/>
      <c r="N62" s="331"/>
      <c r="O62" s="331"/>
      <c r="P62" s="329"/>
      <c r="Q62" s="376"/>
      <c r="R62" s="383"/>
      <c r="S62" s="332"/>
      <c r="T62" s="331"/>
      <c r="U62" s="333"/>
      <c r="V62" s="333"/>
      <c r="W62" s="384"/>
      <c r="X62" s="383"/>
      <c r="Y62" s="332"/>
      <c r="Z62" s="331"/>
      <c r="AA62" s="331"/>
      <c r="AB62" s="333"/>
      <c r="AC62" s="384"/>
      <c r="AD62" s="375"/>
      <c r="AE62" s="369"/>
      <c r="AF62" s="397"/>
      <c r="AG62" s="328"/>
      <c r="AH62" s="328"/>
      <c r="AI62" s="328"/>
      <c r="AJ62" s="328"/>
      <c r="AK62" s="328"/>
      <c r="AL62" s="328"/>
      <c r="AM62" s="328"/>
      <c r="AN62" s="398"/>
      <c r="AO62" s="402" t="str">
        <f>IF(ISBLANK(tblData[[#This Row],[Surname]]),"",IF(tblData[[#This Row],[Bill Accred Fee]]=0,"NO","YES"))</f>
        <v/>
      </c>
      <c r="AP62" s="406">
        <f>IF(AND(NOT(ISBLANK(tblData[[#This Row],[Surname]])),COUNTA(tblData[[#This Row],[Day 1]:[Day 9]])=0),1,0)</f>
        <v>0</v>
      </c>
      <c r="AQ62" s="406">
        <f>IF(AND(NOT(ISBLANK(tblData[[#This Row],[Surname]])),tblData[[#This Row],[Position]]="Athlete"),1,0)</f>
        <v>0</v>
      </c>
      <c r="AR62" s="433">
        <f>EntryFee*tblData[[#This Row],[Entry Fee Billable]]</f>
        <v>0</v>
      </c>
      <c r="AS62" s="410" t="e">
        <f>IF(ISBLANK(SelectedCategory),"No Cat!",IF(ISBLANK($F62),0,IFERROR(VLOOKUP(AS$12&amp;", "&amp;tblData[[#This Row],[Day 1]],tblAccommodationCosts[],5,FALSE),0)+IFERROR(VLOOKUP(AS$12&amp;", "&amp;tblData[[#This Row],[Day 2]],tblAccommodationCosts[],5,FALSE),0)+IFERROR(VLOOKUP(AS$12&amp;", "&amp;tblData[[#This Row],[Day 3]],tblAccommodationCosts[],5,FALSE),0)+IFERROR(VLOOKUP(AS$12&amp;", "&amp;tblData[[#This Row],[Day 4]],tblAccommodationCosts[],5,FALSE),0)+IFERROR(VLOOKUP(AS$12&amp;", "&amp;tblData[[#This Row],[Day 5]],tblAccommodationCosts[],5,FALSE),0)+IFERROR(VLOOKUP(AS$12&amp;", "&amp;tblData[[#This Row],[Day 6]],tblAccommodationCosts[],5,FALSE),0)+IFERROR(VLOOKUP(AS$12&amp;", "&amp;tblData[[#This Row],[Day 7]],tblAccommodationCosts[],5,FALSE),0)+IFERROR(VLOOKUP(AS$12&amp;", "&amp;tblData[[#This Row],[Day 8]],tblAccommodationCosts[],5,FALSE),0)+IFERROR(VLOOKUP(AS$12&amp;", "&amp;tblData[[#This Row],[Day 9]],tblAccommodationCosts[],5,FALSE),0)+AccreditationFee*tblData[[#This Row],[Bill Accred Fee]]))+tblData[[#This Row],[Entry Fee]]</f>
        <v>#VALUE!</v>
      </c>
      <c r="AT62" s="324" t="str">
        <f>IFERROR(VLOOKUP(tblData[[#This Row],[Weight Category, Function, and Gender]],tblWeightOrFunction[],3,0),"")</f>
        <v/>
      </c>
      <c r="AU62" s="84" t="str">
        <f>IFERROR(VLOOKUP(tblData[[#This Row],[Weight Category, Function, and Gender]],tblWeightOrFunction[],4,0),"")</f>
        <v/>
      </c>
      <c r="AV62" s="85" t="str">
        <f>IFERROR(VLOOKUP(tblData[[#This Row],[Weight Category, Function, and Gender]],tblWeightOrFunction[],7,0),"")</f>
        <v/>
      </c>
      <c r="AW62" s="84" t="str">
        <f>IFERROR(VLOOKUP(tblData[[#This Row],[Weight Category, Function, and Gender]],tblWeightOrFunction[],6,0),"")</f>
        <v/>
      </c>
      <c r="AX62" s="84" t="str">
        <f>IFERROR(VLOOKUP(tblData[[#This Row],[Weight Category, Function, and Gender]],tblWeightOrFunction[],2,0),"")</f>
        <v/>
      </c>
      <c r="AY62" s="75">
        <f>tblData[[#This Row],[Arr Date]]+tblData[[#This Row],[Arr Time]]</f>
        <v>0</v>
      </c>
      <c r="AZ62" s="75">
        <f>tblData[[#This Row],[Dep Date]]+tblData[[#This Row],[Dep Time]]</f>
        <v>0</v>
      </c>
      <c r="BA62" s="72">
        <f>COUNTIF(tblData[Surname],"&lt;="&amp;tblData[Surname])</f>
        <v>0</v>
      </c>
      <c r="BB62" s="72">
        <f>COUNTIF(tblData[Given name],"&lt;="&amp;tblData[Given name])</f>
        <v>0</v>
      </c>
      <c r="BC62" s="72">
        <f>COUNTIF(tblData[Arr DateTime],"&lt;="&amp;tblData[Arr DateTime])</f>
        <v>110</v>
      </c>
      <c r="BD62" s="72">
        <f>COUNTIF(tblData[Dep DateTime],"&lt;="&amp;tblData[Dep DateTime])</f>
        <v>110</v>
      </c>
      <c r="BE62" s="72">
        <f>COUNTIF(tblData[ShuttleAtDeparture],"&lt;="&amp;tblData[ShuttleAtDeparture])</f>
        <v>0</v>
      </c>
      <c r="BI62" s="6" t="str">
        <f t="array" ref="BI62">IF(ROWS(tblData[[#Headers],[Id]]:tblData[[#This Row],[Id]])-1&gt;$BI$11,"",INDEX(tblData[Id],SMALL(IF(LEN(TRIM(tblData[Surname]))*((tblData[Type]=$BI$9)+(tblData[Type]=$BI$10)),ROW(tblData[Id])-ROW(tblData[[#Headers],[Id]])),ROWS(tblData[[#Headers],[Id]]:tblData[[#This Row],[Id]])-1)))</f>
        <v/>
      </c>
      <c r="BK62" s="6" t="str">
        <f>IF(ROWS(tblCoachesAndOfficialsSorted[[#Headers],[Id]]:tblCoachesAndOfficialsSorted[[#This Row],[Id]])-1&gt;$BK$11,"",SMALL(tblCoachesAndOfficials[Id],ROWS(tblCoachesAndOfficialsSorted[[#Headers],[Id]]:tblCoachesAndOfficialsSorted[[#This Row],[Id]])-1))</f>
        <v/>
      </c>
      <c r="BM62" s="6" t="str">
        <f t="array" ref="BM62">IF(ROWS(tblData[[#Headers],[Id]]:tblData[[#This Row],[Id]])-1&gt;$BM$11,"",INDEX(tblData[Id],SMALL(IF(LEN(TRIM(tblData[Surname]))*(tblData[Type]=$BM$9),ROW(tblData[Id])-ROW(tblData[[#Headers],[Id]])),ROWS(tblData[[#Headers],[Id]]:tblData[[#This Row],[Id]])-1)))</f>
        <v/>
      </c>
      <c r="BO62" s="6" t="str">
        <f>IF(ROWS(tblWomenSorted[[#Headers],[Id]]:tblWomenSorted[[#This Row],[Id]])-1&gt;$BO$11,"",SMALL(tblWomen[Id],ROWS(tblWomenSorted[[#Headers],[Id]]:tblWomenSorted[[#This Row],[Id]])-1))</f>
        <v/>
      </c>
      <c r="BP62" s="17"/>
      <c r="BQ62" s="6" t="str">
        <f t="array" ref="BQ62">IF(ROWS(tblData[[#Headers],[Id]]:tblData[[#This Row],[Id]])-1&gt;$BQ$11,"",INDEX(tblData[Id],SMALL(IF(LEN(TRIM(tblData[Surname]))*(tblData[Type]=$BQ$9),ROW(tblData[Id])-ROW(tblData[[#Headers],[Id]])),ROWS(tblData[[#Headers],[Id]]:tblData[[#This Row],[Id]])-1)))</f>
        <v/>
      </c>
      <c r="BS62" s="6" t="str">
        <f>IF(ROWS(tblMenSorted[[#Headers],[Id]]:tblMenSorted[[#This Row],[Id]])-1&gt;$BS$11,"",SMALL(tblMen[Id],ROWS(tblMenSorted[[#Headers],[Id]]:tblMenSorted[[#This Row],[Id]])-1))</f>
        <v/>
      </c>
      <c r="BU62" s="6" t="str">
        <f t="array" ref="BU62">IF(ROWS(tblData[[#Headers],[Sorted Name Id]]:tblData[[#This Row],[Sorted Name Id]])-1&gt;$BU$11,"",INDEX(tblData[Sorted Name Id],SMALL(IF(LEN(TRIM(tblData[Surname]))*(tblData[Visa required]="YES"),ROW(tblData[Sorted Name Id])-ROW(tblData[[#Headers],[Sorted Name Id]])),ROWS(tblData[[#Headers],[Sorted Name Id]]:tblData[[#This Row],[Sorted Name Id]])-1)))</f>
        <v/>
      </c>
      <c r="BW62" s="6" t="str">
        <f>IF(ROWS(tblVisasSorted[[#Headers],[Id]]:tblVisasSorted[[#This Row],[Id]])-1&gt;$BW$11,"",SMALL(tblVisas[Id],ROWS(tblVisasSorted[[#Headers],[Id]]:tblVisasSorted[[#This Row],[Id]])-1))</f>
        <v/>
      </c>
      <c r="BY62" s="6" t="str">
        <f t="array" ref="BY62">IF(ROWS(tblData[[#Headers],[Sorted Arr Id]]:tblData[[#This Row],[Sorted Arr Id]])-1&gt;$BY$11,"",INDEX(tblData[Sorted Arr Id],SMALL(IF(LEN(TRIM(tblData[Surname]))*(tblData[Arr DateTime]&gt;0),ROW(tblData[Sorted Arr Id])-ROW(tblData[[#Headers],[Sorted Arr Id]])),ROWS(tblData[[#Headers],[Sorted Arr Id]]:tblData[[#This Row],[Sorted Arr Id]])-1)))</f>
        <v/>
      </c>
      <c r="CA62" s="6" t="str">
        <f>IF(ROWS(tblArrivalSorted[[#Headers],[Id]]:tblArrivalSorted[[#This Row],[Id]])-1&gt;$CA$11,"",SMALL(tblArrival[Id],ROWS(tblArrivalSorted[[#Headers],[Id]]:tblArrivalSorted[[#This Row],[Id]])-1))</f>
        <v/>
      </c>
      <c r="CC62" s="6" t="str">
        <f t="array" ref="CC62">IF(ROWS(tblData[[#Headers],[Sorted Dep Id]]:tblData[[#This Row],[Sorted Dep Id]])-1&gt;$CC$11,"",INDEX(tblData[Sorted Dep Id],SMALL(IF(LEN(TRIM(tblData[Surname]))*(tblData[Dep DateTime]&gt;0),ROW(tblData[Sorted Dep Id])-ROW(tblData[[#Headers],[Sorted Dep Id]])),ROWS(tblData[[#Headers],[Sorted Dep Id]]:tblData[[#This Row],[Sorted Dep Id]])-1)))</f>
        <v/>
      </c>
      <c r="CE62" s="6" t="str">
        <f>IF(ROWS(tblDepartureSorted[[#Headers],[Id]]:tblDepartureSorted[[#This Row],[Id]])-1&gt;$CE$11,"",SMALL(tblDeparture[Id],ROWS(tblDepartureSorted[[#Headers],[Id]]:tblDepartureSorted[[#This Row],[Id]])-1))</f>
        <v/>
      </c>
      <c r="CG62" s="6" t="str">
        <f t="array" ref="CG62">IF(ROWS(tblData[[#Headers],[Id]]:tblData[[#This Row],[Id]])-1&gt;$CG$11,"",INDEX(tblData[Id],SMALL(IF(LEN(TRIM(tblData[Surname])),ROW(tblData[Id])-ROW(tblData[[#Headers],[Id]])),ROWS(tblData[[#Headers],[Id]]:tblData[[#This Row],[Id]])-1)))</f>
        <v/>
      </c>
    </row>
    <row r="63" spans="1:85" s="6" customFormat="1">
      <c r="A63" s="14">
        <f>IF(ISNUMBER(tblData[[#This Row],[SubType2]]),tblData[[#This Row],[SubType2]]*10000+tblData[[#This Row],[No]],1000000+tblData[[#This Row],[No]])</f>
        <v>1000050</v>
      </c>
      <c r="B63" s="14">
        <f>IFERROR(tblData[[#This Row],[Surname Rang]]*1000+tblData[[#This Row],[Given Name Rang]]+tblData[[#This Row],[No]]/1000,"")</f>
        <v>0.05</v>
      </c>
      <c r="C63" s="14">
        <f>IFERROR(tblData[[#This Row],[Arr DateTime Rang]]+tblData[[#This Row],[No]]/1000,"")</f>
        <v>110.05</v>
      </c>
      <c r="D63" s="14">
        <f>IFERROR(tblData[[#This Row],[Dep DateTime Rang]]+tblData[[#This Row],[No]]/1000,"")</f>
        <v>110.05</v>
      </c>
      <c r="E63" s="362">
        <f t="shared" si="1"/>
        <v>50</v>
      </c>
      <c r="F63" s="370"/>
      <c r="G63" s="331"/>
      <c r="H63" s="328"/>
      <c r="I63" s="329"/>
      <c r="J63" s="330"/>
      <c r="K63" s="369"/>
      <c r="L63" s="375"/>
      <c r="M63" s="331"/>
      <c r="N63" s="331"/>
      <c r="O63" s="331"/>
      <c r="P63" s="329"/>
      <c r="Q63" s="376"/>
      <c r="R63" s="383"/>
      <c r="S63" s="332"/>
      <c r="T63" s="331"/>
      <c r="U63" s="333"/>
      <c r="V63" s="333"/>
      <c r="W63" s="384"/>
      <c r="X63" s="383"/>
      <c r="Y63" s="332"/>
      <c r="Z63" s="331"/>
      <c r="AA63" s="331"/>
      <c r="AB63" s="333"/>
      <c r="AC63" s="384"/>
      <c r="AD63" s="375"/>
      <c r="AE63" s="369"/>
      <c r="AF63" s="397"/>
      <c r="AG63" s="328"/>
      <c r="AH63" s="328"/>
      <c r="AI63" s="328"/>
      <c r="AJ63" s="328"/>
      <c r="AK63" s="328"/>
      <c r="AL63" s="328"/>
      <c r="AM63" s="328"/>
      <c r="AN63" s="398"/>
      <c r="AO63" s="402" t="str">
        <f>IF(ISBLANK(tblData[[#This Row],[Surname]]),"",IF(tblData[[#This Row],[Bill Accred Fee]]=0,"NO","YES"))</f>
        <v/>
      </c>
      <c r="AP63" s="406">
        <f>IF(AND(NOT(ISBLANK(tblData[[#This Row],[Surname]])),COUNTA(tblData[[#This Row],[Day 1]:[Day 9]])=0),1,0)</f>
        <v>0</v>
      </c>
      <c r="AQ63" s="406">
        <f>IF(AND(NOT(ISBLANK(tblData[[#This Row],[Surname]])),tblData[[#This Row],[Position]]="Athlete"),1,0)</f>
        <v>0</v>
      </c>
      <c r="AR63" s="433">
        <f>EntryFee*tblData[[#This Row],[Entry Fee Billable]]</f>
        <v>0</v>
      </c>
      <c r="AS63" s="410" t="e">
        <f>IF(ISBLANK(SelectedCategory),"No Cat!",IF(ISBLANK($F63),0,IFERROR(VLOOKUP(AS$12&amp;", "&amp;tblData[[#This Row],[Day 1]],tblAccommodationCosts[],5,FALSE),0)+IFERROR(VLOOKUP(AS$12&amp;", "&amp;tblData[[#This Row],[Day 2]],tblAccommodationCosts[],5,FALSE),0)+IFERROR(VLOOKUP(AS$12&amp;", "&amp;tblData[[#This Row],[Day 3]],tblAccommodationCosts[],5,FALSE),0)+IFERROR(VLOOKUP(AS$12&amp;", "&amp;tblData[[#This Row],[Day 4]],tblAccommodationCosts[],5,FALSE),0)+IFERROR(VLOOKUP(AS$12&amp;", "&amp;tblData[[#This Row],[Day 5]],tblAccommodationCosts[],5,FALSE),0)+IFERROR(VLOOKUP(AS$12&amp;", "&amp;tblData[[#This Row],[Day 6]],tblAccommodationCosts[],5,FALSE),0)+IFERROR(VLOOKUP(AS$12&amp;", "&amp;tblData[[#This Row],[Day 7]],tblAccommodationCosts[],5,FALSE),0)+IFERROR(VLOOKUP(AS$12&amp;", "&amp;tblData[[#This Row],[Day 8]],tblAccommodationCosts[],5,FALSE),0)+IFERROR(VLOOKUP(AS$12&amp;", "&amp;tblData[[#This Row],[Day 9]],tblAccommodationCosts[],5,FALSE),0)+AccreditationFee*tblData[[#This Row],[Bill Accred Fee]]))+tblData[[#This Row],[Entry Fee]]</f>
        <v>#VALUE!</v>
      </c>
      <c r="AT63" s="324" t="str">
        <f>IFERROR(VLOOKUP(tblData[[#This Row],[Weight Category, Function, and Gender]],tblWeightOrFunction[],3,0),"")</f>
        <v/>
      </c>
      <c r="AU63" s="84" t="str">
        <f>IFERROR(VLOOKUP(tblData[[#This Row],[Weight Category, Function, and Gender]],tblWeightOrFunction[],4,0),"")</f>
        <v/>
      </c>
      <c r="AV63" s="85" t="str">
        <f>IFERROR(VLOOKUP(tblData[[#This Row],[Weight Category, Function, and Gender]],tblWeightOrFunction[],7,0),"")</f>
        <v/>
      </c>
      <c r="AW63" s="84" t="str">
        <f>IFERROR(VLOOKUP(tblData[[#This Row],[Weight Category, Function, and Gender]],tblWeightOrFunction[],6,0),"")</f>
        <v/>
      </c>
      <c r="AX63" s="84" t="str">
        <f>IFERROR(VLOOKUP(tblData[[#This Row],[Weight Category, Function, and Gender]],tblWeightOrFunction[],2,0),"")</f>
        <v/>
      </c>
      <c r="AY63" s="75">
        <f>tblData[[#This Row],[Arr Date]]+tblData[[#This Row],[Arr Time]]</f>
        <v>0</v>
      </c>
      <c r="AZ63" s="75">
        <f>tblData[[#This Row],[Dep Date]]+tblData[[#This Row],[Dep Time]]</f>
        <v>0</v>
      </c>
      <c r="BA63" s="72">
        <f>COUNTIF(tblData[Surname],"&lt;="&amp;tblData[Surname])</f>
        <v>0</v>
      </c>
      <c r="BB63" s="72">
        <f>COUNTIF(tblData[Given name],"&lt;="&amp;tblData[Given name])</f>
        <v>0</v>
      </c>
      <c r="BC63" s="72">
        <f>COUNTIF(tblData[Arr DateTime],"&lt;="&amp;tblData[Arr DateTime])</f>
        <v>110</v>
      </c>
      <c r="BD63" s="72">
        <f>COUNTIF(tblData[Dep DateTime],"&lt;="&amp;tblData[Dep DateTime])</f>
        <v>110</v>
      </c>
      <c r="BE63" s="72">
        <f>COUNTIF(tblData[ShuttleAtDeparture],"&lt;="&amp;tblData[ShuttleAtDeparture])</f>
        <v>0</v>
      </c>
      <c r="BI63" s="6" t="str">
        <f t="array" ref="BI63">IF(ROWS(tblData[[#Headers],[Id]]:tblData[[#This Row],[Id]])-1&gt;$BI$11,"",INDEX(tblData[Id],SMALL(IF(LEN(TRIM(tblData[Surname]))*((tblData[Type]=$BI$9)+(tblData[Type]=$BI$10)),ROW(tblData[Id])-ROW(tblData[[#Headers],[Id]])),ROWS(tblData[[#Headers],[Id]]:tblData[[#This Row],[Id]])-1)))</f>
        <v/>
      </c>
      <c r="BK63" s="6" t="str">
        <f>IF(ROWS(tblCoachesAndOfficialsSorted[[#Headers],[Id]]:tblCoachesAndOfficialsSorted[[#This Row],[Id]])-1&gt;$BK$11,"",SMALL(tblCoachesAndOfficials[Id],ROWS(tblCoachesAndOfficialsSorted[[#Headers],[Id]]:tblCoachesAndOfficialsSorted[[#This Row],[Id]])-1))</f>
        <v/>
      </c>
      <c r="BM63" s="6" t="str">
        <f t="array" ref="BM63">IF(ROWS(tblData[[#Headers],[Id]]:tblData[[#This Row],[Id]])-1&gt;$BM$11,"",INDEX(tblData[Id],SMALL(IF(LEN(TRIM(tblData[Surname]))*(tblData[Type]=$BM$9),ROW(tblData[Id])-ROW(tblData[[#Headers],[Id]])),ROWS(tblData[[#Headers],[Id]]:tblData[[#This Row],[Id]])-1)))</f>
        <v/>
      </c>
      <c r="BO63" s="6" t="str">
        <f>IF(ROWS(tblWomenSorted[[#Headers],[Id]]:tblWomenSorted[[#This Row],[Id]])-1&gt;$BO$11,"",SMALL(tblWomen[Id],ROWS(tblWomenSorted[[#Headers],[Id]]:tblWomenSorted[[#This Row],[Id]])-1))</f>
        <v/>
      </c>
      <c r="BP63" s="17"/>
      <c r="BQ63" s="6" t="str">
        <f t="array" ref="BQ63">IF(ROWS(tblData[[#Headers],[Id]]:tblData[[#This Row],[Id]])-1&gt;$BQ$11,"",INDEX(tblData[Id],SMALL(IF(LEN(TRIM(tblData[Surname]))*(tblData[Type]=$BQ$9),ROW(tblData[Id])-ROW(tblData[[#Headers],[Id]])),ROWS(tblData[[#Headers],[Id]]:tblData[[#This Row],[Id]])-1)))</f>
        <v/>
      </c>
      <c r="BS63" s="6" t="str">
        <f>IF(ROWS(tblMenSorted[[#Headers],[Id]]:tblMenSorted[[#This Row],[Id]])-1&gt;$BS$11,"",SMALL(tblMen[Id],ROWS(tblMenSorted[[#Headers],[Id]]:tblMenSorted[[#This Row],[Id]])-1))</f>
        <v/>
      </c>
      <c r="BU63" s="6" t="str">
        <f t="array" ref="BU63">IF(ROWS(tblData[[#Headers],[Sorted Name Id]]:tblData[[#This Row],[Sorted Name Id]])-1&gt;$BU$11,"",INDEX(tblData[Sorted Name Id],SMALL(IF(LEN(TRIM(tblData[Surname]))*(tblData[Visa required]="YES"),ROW(tblData[Sorted Name Id])-ROW(tblData[[#Headers],[Sorted Name Id]])),ROWS(tblData[[#Headers],[Sorted Name Id]]:tblData[[#This Row],[Sorted Name Id]])-1)))</f>
        <v/>
      </c>
      <c r="BW63" s="6" t="str">
        <f>IF(ROWS(tblVisasSorted[[#Headers],[Id]]:tblVisasSorted[[#This Row],[Id]])-1&gt;$BW$11,"",SMALL(tblVisas[Id],ROWS(tblVisasSorted[[#Headers],[Id]]:tblVisasSorted[[#This Row],[Id]])-1))</f>
        <v/>
      </c>
      <c r="BY63" s="6" t="str">
        <f t="array" ref="BY63">IF(ROWS(tblData[[#Headers],[Sorted Arr Id]]:tblData[[#This Row],[Sorted Arr Id]])-1&gt;$BY$11,"",INDEX(tblData[Sorted Arr Id],SMALL(IF(LEN(TRIM(tblData[Surname]))*(tblData[Arr DateTime]&gt;0),ROW(tblData[Sorted Arr Id])-ROW(tblData[[#Headers],[Sorted Arr Id]])),ROWS(tblData[[#Headers],[Sorted Arr Id]]:tblData[[#This Row],[Sorted Arr Id]])-1)))</f>
        <v/>
      </c>
      <c r="CA63" s="6" t="str">
        <f>IF(ROWS(tblArrivalSorted[[#Headers],[Id]]:tblArrivalSorted[[#This Row],[Id]])-1&gt;$CA$11,"",SMALL(tblArrival[Id],ROWS(tblArrivalSorted[[#Headers],[Id]]:tblArrivalSorted[[#This Row],[Id]])-1))</f>
        <v/>
      </c>
      <c r="CC63" s="6" t="str">
        <f t="array" ref="CC63">IF(ROWS(tblData[[#Headers],[Sorted Dep Id]]:tblData[[#This Row],[Sorted Dep Id]])-1&gt;$CC$11,"",INDEX(tblData[Sorted Dep Id],SMALL(IF(LEN(TRIM(tblData[Surname]))*(tblData[Dep DateTime]&gt;0),ROW(tblData[Sorted Dep Id])-ROW(tblData[[#Headers],[Sorted Dep Id]])),ROWS(tblData[[#Headers],[Sorted Dep Id]]:tblData[[#This Row],[Sorted Dep Id]])-1)))</f>
        <v/>
      </c>
      <c r="CE63" s="6" t="str">
        <f>IF(ROWS(tblDepartureSorted[[#Headers],[Id]]:tblDepartureSorted[[#This Row],[Id]])-1&gt;$CE$11,"",SMALL(tblDeparture[Id],ROWS(tblDepartureSorted[[#Headers],[Id]]:tblDepartureSorted[[#This Row],[Id]])-1))</f>
        <v/>
      </c>
      <c r="CG63" s="6" t="str">
        <f t="array" ref="CG63">IF(ROWS(tblData[[#Headers],[Id]]:tblData[[#This Row],[Id]])-1&gt;$CG$11,"",INDEX(tblData[Id],SMALL(IF(LEN(TRIM(tblData[Surname])),ROW(tblData[Id])-ROW(tblData[[#Headers],[Id]])),ROWS(tblData[[#Headers],[Id]]:tblData[[#This Row],[Id]])-1)))</f>
        <v/>
      </c>
    </row>
    <row r="64" spans="1:85" s="6" customFormat="1">
      <c r="A64" s="14">
        <f>IF(ISNUMBER(tblData[[#This Row],[SubType2]]),tblData[[#This Row],[SubType2]]*10000+tblData[[#This Row],[No]],1000000+tblData[[#This Row],[No]])</f>
        <v>1000051</v>
      </c>
      <c r="B64" s="14">
        <f>IFERROR(tblData[[#This Row],[Surname Rang]]*1000+tblData[[#This Row],[Given Name Rang]]+tblData[[#This Row],[No]]/1000,"")</f>
        <v>5.0999999999999997E-2</v>
      </c>
      <c r="C64" s="14">
        <f>IFERROR(tblData[[#This Row],[Arr DateTime Rang]]+tblData[[#This Row],[No]]/1000,"")</f>
        <v>110.051</v>
      </c>
      <c r="D64" s="14">
        <f>IFERROR(tblData[[#This Row],[Dep DateTime Rang]]+tblData[[#This Row],[No]]/1000,"")</f>
        <v>110.051</v>
      </c>
      <c r="E64" s="362">
        <f t="shared" si="1"/>
        <v>51</v>
      </c>
      <c r="F64" s="370"/>
      <c r="G64" s="331"/>
      <c r="H64" s="328"/>
      <c r="I64" s="329"/>
      <c r="J64" s="330"/>
      <c r="K64" s="369"/>
      <c r="L64" s="375"/>
      <c r="M64" s="331"/>
      <c r="N64" s="331"/>
      <c r="O64" s="331"/>
      <c r="P64" s="329"/>
      <c r="Q64" s="376"/>
      <c r="R64" s="383"/>
      <c r="S64" s="332"/>
      <c r="T64" s="331"/>
      <c r="U64" s="333"/>
      <c r="V64" s="333"/>
      <c r="W64" s="384"/>
      <c r="X64" s="383"/>
      <c r="Y64" s="332"/>
      <c r="Z64" s="331"/>
      <c r="AA64" s="331"/>
      <c r="AB64" s="333"/>
      <c r="AC64" s="384"/>
      <c r="AD64" s="375"/>
      <c r="AE64" s="369"/>
      <c r="AF64" s="397"/>
      <c r="AG64" s="328"/>
      <c r="AH64" s="328"/>
      <c r="AI64" s="328"/>
      <c r="AJ64" s="328"/>
      <c r="AK64" s="328"/>
      <c r="AL64" s="328"/>
      <c r="AM64" s="328"/>
      <c r="AN64" s="398"/>
      <c r="AO64" s="402" t="str">
        <f>IF(ISBLANK(tblData[[#This Row],[Surname]]),"",IF(tblData[[#This Row],[Bill Accred Fee]]=0,"NO","YES"))</f>
        <v/>
      </c>
      <c r="AP64" s="406">
        <f>IF(AND(NOT(ISBLANK(tblData[[#This Row],[Surname]])),COUNTA(tblData[[#This Row],[Day 1]:[Day 9]])=0),1,0)</f>
        <v>0</v>
      </c>
      <c r="AQ64" s="406">
        <f>IF(AND(NOT(ISBLANK(tblData[[#This Row],[Surname]])),tblData[[#This Row],[Position]]="Athlete"),1,0)</f>
        <v>0</v>
      </c>
      <c r="AR64" s="433">
        <f>EntryFee*tblData[[#This Row],[Entry Fee Billable]]</f>
        <v>0</v>
      </c>
      <c r="AS64" s="410" t="e">
        <f>IF(ISBLANK(SelectedCategory),"No Cat!",IF(ISBLANK($F64),0,IFERROR(VLOOKUP(AS$12&amp;", "&amp;tblData[[#This Row],[Day 1]],tblAccommodationCosts[],5,FALSE),0)+IFERROR(VLOOKUP(AS$12&amp;", "&amp;tblData[[#This Row],[Day 2]],tblAccommodationCosts[],5,FALSE),0)+IFERROR(VLOOKUP(AS$12&amp;", "&amp;tblData[[#This Row],[Day 3]],tblAccommodationCosts[],5,FALSE),0)+IFERROR(VLOOKUP(AS$12&amp;", "&amp;tblData[[#This Row],[Day 4]],tblAccommodationCosts[],5,FALSE),0)+IFERROR(VLOOKUP(AS$12&amp;", "&amp;tblData[[#This Row],[Day 5]],tblAccommodationCosts[],5,FALSE),0)+IFERROR(VLOOKUP(AS$12&amp;", "&amp;tblData[[#This Row],[Day 6]],tblAccommodationCosts[],5,FALSE),0)+IFERROR(VLOOKUP(AS$12&amp;", "&amp;tblData[[#This Row],[Day 7]],tblAccommodationCosts[],5,FALSE),0)+IFERROR(VLOOKUP(AS$12&amp;", "&amp;tblData[[#This Row],[Day 8]],tblAccommodationCosts[],5,FALSE),0)+IFERROR(VLOOKUP(AS$12&amp;", "&amp;tblData[[#This Row],[Day 9]],tblAccommodationCosts[],5,FALSE),0)+AccreditationFee*tblData[[#This Row],[Bill Accred Fee]]))+tblData[[#This Row],[Entry Fee]]</f>
        <v>#VALUE!</v>
      </c>
      <c r="AT64" s="324" t="str">
        <f>IFERROR(VLOOKUP(tblData[[#This Row],[Weight Category, Function, and Gender]],tblWeightOrFunction[],3,0),"")</f>
        <v/>
      </c>
      <c r="AU64" s="84" t="str">
        <f>IFERROR(VLOOKUP(tblData[[#This Row],[Weight Category, Function, and Gender]],tblWeightOrFunction[],4,0),"")</f>
        <v/>
      </c>
      <c r="AV64" s="85" t="str">
        <f>IFERROR(VLOOKUP(tblData[[#This Row],[Weight Category, Function, and Gender]],tblWeightOrFunction[],7,0),"")</f>
        <v/>
      </c>
      <c r="AW64" s="84" t="str">
        <f>IFERROR(VLOOKUP(tblData[[#This Row],[Weight Category, Function, and Gender]],tblWeightOrFunction[],6,0),"")</f>
        <v/>
      </c>
      <c r="AX64" s="84" t="str">
        <f>IFERROR(VLOOKUP(tblData[[#This Row],[Weight Category, Function, and Gender]],tblWeightOrFunction[],2,0),"")</f>
        <v/>
      </c>
      <c r="AY64" s="75">
        <f>tblData[[#This Row],[Arr Date]]+tblData[[#This Row],[Arr Time]]</f>
        <v>0</v>
      </c>
      <c r="AZ64" s="75">
        <f>tblData[[#This Row],[Dep Date]]+tblData[[#This Row],[Dep Time]]</f>
        <v>0</v>
      </c>
      <c r="BA64" s="72">
        <f>COUNTIF(tblData[Surname],"&lt;="&amp;tblData[Surname])</f>
        <v>0</v>
      </c>
      <c r="BB64" s="72">
        <f>COUNTIF(tblData[Given name],"&lt;="&amp;tblData[Given name])</f>
        <v>0</v>
      </c>
      <c r="BC64" s="72">
        <f>COUNTIF(tblData[Arr DateTime],"&lt;="&amp;tblData[Arr DateTime])</f>
        <v>110</v>
      </c>
      <c r="BD64" s="72">
        <f>COUNTIF(tblData[Dep DateTime],"&lt;="&amp;tblData[Dep DateTime])</f>
        <v>110</v>
      </c>
      <c r="BE64" s="72">
        <f>COUNTIF(tblData[ShuttleAtDeparture],"&lt;="&amp;tblData[ShuttleAtDeparture])</f>
        <v>0</v>
      </c>
      <c r="BI64" s="6" t="str">
        <f t="array" ref="BI64">IF(ROWS(tblData[[#Headers],[Id]]:tblData[[#This Row],[Id]])-1&gt;$BI$11,"",INDEX(tblData[Id],SMALL(IF(LEN(TRIM(tblData[Surname]))*((tblData[Type]=$BI$9)+(tblData[Type]=$BI$10)),ROW(tblData[Id])-ROW(tblData[[#Headers],[Id]])),ROWS(tblData[[#Headers],[Id]]:tblData[[#This Row],[Id]])-1)))</f>
        <v/>
      </c>
      <c r="BK64" s="6" t="str">
        <f>IF(ROWS(tblCoachesAndOfficialsSorted[[#Headers],[Id]]:tblCoachesAndOfficialsSorted[[#This Row],[Id]])-1&gt;$BK$11,"",SMALL(tblCoachesAndOfficials[Id],ROWS(tblCoachesAndOfficialsSorted[[#Headers],[Id]]:tblCoachesAndOfficialsSorted[[#This Row],[Id]])-1))</f>
        <v/>
      </c>
      <c r="BM64" s="6" t="str">
        <f t="array" ref="BM64">IF(ROWS(tblData[[#Headers],[Id]]:tblData[[#This Row],[Id]])-1&gt;$BM$11,"",INDEX(tblData[Id],SMALL(IF(LEN(TRIM(tblData[Surname]))*(tblData[Type]=$BM$9),ROW(tblData[Id])-ROW(tblData[[#Headers],[Id]])),ROWS(tblData[[#Headers],[Id]]:tblData[[#This Row],[Id]])-1)))</f>
        <v/>
      </c>
      <c r="BO64" s="6" t="str">
        <f>IF(ROWS(tblWomenSorted[[#Headers],[Id]]:tblWomenSorted[[#This Row],[Id]])-1&gt;$BO$11,"",SMALL(tblWomen[Id],ROWS(tblWomenSorted[[#Headers],[Id]]:tblWomenSorted[[#This Row],[Id]])-1))</f>
        <v/>
      </c>
      <c r="BP64" s="17"/>
      <c r="BQ64" s="6" t="str">
        <f t="array" ref="BQ64">IF(ROWS(tblData[[#Headers],[Id]]:tblData[[#This Row],[Id]])-1&gt;$BQ$11,"",INDEX(tblData[Id],SMALL(IF(LEN(TRIM(tblData[Surname]))*(tblData[Type]=$BQ$9),ROW(tblData[Id])-ROW(tblData[[#Headers],[Id]])),ROWS(tblData[[#Headers],[Id]]:tblData[[#This Row],[Id]])-1)))</f>
        <v/>
      </c>
      <c r="BS64" s="6" t="str">
        <f>IF(ROWS(tblMenSorted[[#Headers],[Id]]:tblMenSorted[[#This Row],[Id]])-1&gt;$BS$11,"",SMALL(tblMen[Id],ROWS(tblMenSorted[[#Headers],[Id]]:tblMenSorted[[#This Row],[Id]])-1))</f>
        <v/>
      </c>
      <c r="BU64" s="6" t="str">
        <f t="array" ref="BU64">IF(ROWS(tblData[[#Headers],[Sorted Name Id]]:tblData[[#This Row],[Sorted Name Id]])-1&gt;$BU$11,"",INDEX(tblData[Sorted Name Id],SMALL(IF(LEN(TRIM(tblData[Surname]))*(tblData[Visa required]="YES"),ROW(tblData[Sorted Name Id])-ROW(tblData[[#Headers],[Sorted Name Id]])),ROWS(tblData[[#Headers],[Sorted Name Id]]:tblData[[#This Row],[Sorted Name Id]])-1)))</f>
        <v/>
      </c>
      <c r="BW64" s="6" t="str">
        <f>IF(ROWS(tblVisasSorted[[#Headers],[Id]]:tblVisasSorted[[#This Row],[Id]])-1&gt;$BW$11,"",SMALL(tblVisas[Id],ROWS(tblVisasSorted[[#Headers],[Id]]:tblVisasSorted[[#This Row],[Id]])-1))</f>
        <v/>
      </c>
      <c r="BY64" s="6" t="str">
        <f t="array" ref="BY64">IF(ROWS(tblData[[#Headers],[Sorted Arr Id]]:tblData[[#This Row],[Sorted Arr Id]])-1&gt;$BY$11,"",INDEX(tblData[Sorted Arr Id],SMALL(IF(LEN(TRIM(tblData[Surname]))*(tblData[Arr DateTime]&gt;0),ROW(tblData[Sorted Arr Id])-ROW(tblData[[#Headers],[Sorted Arr Id]])),ROWS(tblData[[#Headers],[Sorted Arr Id]]:tblData[[#This Row],[Sorted Arr Id]])-1)))</f>
        <v/>
      </c>
      <c r="CA64" s="6" t="str">
        <f>IF(ROWS(tblArrivalSorted[[#Headers],[Id]]:tblArrivalSorted[[#This Row],[Id]])-1&gt;$CA$11,"",SMALL(tblArrival[Id],ROWS(tblArrivalSorted[[#Headers],[Id]]:tblArrivalSorted[[#This Row],[Id]])-1))</f>
        <v/>
      </c>
      <c r="CC64" s="6" t="str">
        <f t="array" ref="CC64">IF(ROWS(tblData[[#Headers],[Sorted Dep Id]]:tblData[[#This Row],[Sorted Dep Id]])-1&gt;$CC$11,"",INDEX(tblData[Sorted Dep Id],SMALL(IF(LEN(TRIM(tblData[Surname]))*(tblData[Dep DateTime]&gt;0),ROW(tblData[Sorted Dep Id])-ROW(tblData[[#Headers],[Sorted Dep Id]])),ROWS(tblData[[#Headers],[Sorted Dep Id]]:tblData[[#This Row],[Sorted Dep Id]])-1)))</f>
        <v/>
      </c>
      <c r="CE64" s="6" t="str">
        <f>IF(ROWS(tblDepartureSorted[[#Headers],[Id]]:tblDepartureSorted[[#This Row],[Id]])-1&gt;$CE$11,"",SMALL(tblDeparture[Id],ROWS(tblDepartureSorted[[#Headers],[Id]]:tblDepartureSorted[[#This Row],[Id]])-1))</f>
        <v/>
      </c>
      <c r="CG64" s="6" t="str">
        <f t="array" ref="CG64">IF(ROWS(tblData[[#Headers],[Id]]:tblData[[#This Row],[Id]])-1&gt;$CG$11,"",INDEX(tblData[Id],SMALL(IF(LEN(TRIM(tblData[Surname])),ROW(tblData[Id])-ROW(tblData[[#Headers],[Id]])),ROWS(tblData[[#Headers],[Id]]:tblData[[#This Row],[Id]])-1)))</f>
        <v/>
      </c>
    </row>
    <row r="65" spans="1:85" s="6" customFormat="1">
      <c r="A65" s="14">
        <f>IF(ISNUMBER(tblData[[#This Row],[SubType2]]),tblData[[#This Row],[SubType2]]*10000+tblData[[#This Row],[No]],1000000+tblData[[#This Row],[No]])</f>
        <v>1000052</v>
      </c>
      <c r="B65" s="14">
        <f>IFERROR(tblData[[#This Row],[Surname Rang]]*1000+tblData[[#This Row],[Given Name Rang]]+tblData[[#This Row],[No]]/1000,"")</f>
        <v>5.1999999999999998E-2</v>
      </c>
      <c r="C65" s="14">
        <f>IFERROR(tblData[[#This Row],[Arr DateTime Rang]]+tblData[[#This Row],[No]]/1000,"")</f>
        <v>110.05200000000001</v>
      </c>
      <c r="D65" s="14">
        <f>IFERROR(tblData[[#This Row],[Dep DateTime Rang]]+tblData[[#This Row],[No]]/1000,"")</f>
        <v>110.05200000000001</v>
      </c>
      <c r="E65" s="362">
        <f t="shared" si="1"/>
        <v>52</v>
      </c>
      <c r="F65" s="370"/>
      <c r="G65" s="331"/>
      <c r="H65" s="328"/>
      <c r="I65" s="329"/>
      <c r="J65" s="330"/>
      <c r="K65" s="369"/>
      <c r="L65" s="375"/>
      <c r="M65" s="331"/>
      <c r="N65" s="331"/>
      <c r="O65" s="331"/>
      <c r="P65" s="329"/>
      <c r="Q65" s="376"/>
      <c r="R65" s="383"/>
      <c r="S65" s="332"/>
      <c r="T65" s="331"/>
      <c r="U65" s="333"/>
      <c r="V65" s="333"/>
      <c r="W65" s="384"/>
      <c r="X65" s="383"/>
      <c r="Y65" s="332"/>
      <c r="Z65" s="331"/>
      <c r="AA65" s="331"/>
      <c r="AB65" s="333"/>
      <c r="AC65" s="384"/>
      <c r="AD65" s="375"/>
      <c r="AE65" s="369"/>
      <c r="AF65" s="397"/>
      <c r="AG65" s="328"/>
      <c r="AH65" s="328"/>
      <c r="AI65" s="328"/>
      <c r="AJ65" s="328"/>
      <c r="AK65" s="328"/>
      <c r="AL65" s="328"/>
      <c r="AM65" s="328"/>
      <c r="AN65" s="398"/>
      <c r="AO65" s="402" t="str">
        <f>IF(ISBLANK(tblData[[#This Row],[Surname]]),"",IF(tblData[[#This Row],[Bill Accred Fee]]=0,"NO","YES"))</f>
        <v/>
      </c>
      <c r="AP65" s="406">
        <f>IF(AND(NOT(ISBLANK(tblData[[#This Row],[Surname]])),COUNTA(tblData[[#This Row],[Day 1]:[Day 9]])=0),1,0)</f>
        <v>0</v>
      </c>
      <c r="AQ65" s="406">
        <f>IF(AND(NOT(ISBLANK(tblData[[#This Row],[Surname]])),tblData[[#This Row],[Position]]="Athlete"),1,0)</f>
        <v>0</v>
      </c>
      <c r="AR65" s="433">
        <f>EntryFee*tblData[[#This Row],[Entry Fee Billable]]</f>
        <v>0</v>
      </c>
      <c r="AS65" s="410" t="e">
        <f>IF(ISBLANK(SelectedCategory),"No Cat!",IF(ISBLANK($F65),0,IFERROR(VLOOKUP(AS$12&amp;", "&amp;tblData[[#This Row],[Day 1]],tblAccommodationCosts[],5,FALSE),0)+IFERROR(VLOOKUP(AS$12&amp;", "&amp;tblData[[#This Row],[Day 2]],tblAccommodationCosts[],5,FALSE),0)+IFERROR(VLOOKUP(AS$12&amp;", "&amp;tblData[[#This Row],[Day 3]],tblAccommodationCosts[],5,FALSE),0)+IFERROR(VLOOKUP(AS$12&amp;", "&amp;tblData[[#This Row],[Day 4]],tblAccommodationCosts[],5,FALSE),0)+IFERROR(VLOOKUP(AS$12&amp;", "&amp;tblData[[#This Row],[Day 5]],tblAccommodationCosts[],5,FALSE),0)+IFERROR(VLOOKUP(AS$12&amp;", "&amp;tblData[[#This Row],[Day 6]],tblAccommodationCosts[],5,FALSE),0)+IFERROR(VLOOKUP(AS$12&amp;", "&amp;tblData[[#This Row],[Day 7]],tblAccommodationCosts[],5,FALSE),0)+IFERROR(VLOOKUP(AS$12&amp;", "&amp;tblData[[#This Row],[Day 8]],tblAccommodationCosts[],5,FALSE),0)+IFERROR(VLOOKUP(AS$12&amp;", "&amp;tblData[[#This Row],[Day 9]],tblAccommodationCosts[],5,FALSE),0)+AccreditationFee*tblData[[#This Row],[Bill Accred Fee]]))+tblData[[#This Row],[Entry Fee]]</f>
        <v>#VALUE!</v>
      </c>
      <c r="AT65" s="324" t="str">
        <f>IFERROR(VLOOKUP(tblData[[#This Row],[Weight Category, Function, and Gender]],tblWeightOrFunction[],3,0),"")</f>
        <v/>
      </c>
      <c r="AU65" s="84" t="str">
        <f>IFERROR(VLOOKUP(tblData[[#This Row],[Weight Category, Function, and Gender]],tblWeightOrFunction[],4,0),"")</f>
        <v/>
      </c>
      <c r="AV65" s="85" t="str">
        <f>IFERROR(VLOOKUP(tblData[[#This Row],[Weight Category, Function, and Gender]],tblWeightOrFunction[],7,0),"")</f>
        <v/>
      </c>
      <c r="AW65" s="84" t="str">
        <f>IFERROR(VLOOKUP(tblData[[#This Row],[Weight Category, Function, and Gender]],tblWeightOrFunction[],6,0),"")</f>
        <v/>
      </c>
      <c r="AX65" s="84" t="str">
        <f>IFERROR(VLOOKUP(tblData[[#This Row],[Weight Category, Function, and Gender]],tblWeightOrFunction[],2,0),"")</f>
        <v/>
      </c>
      <c r="AY65" s="75">
        <f>tblData[[#This Row],[Arr Date]]+tblData[[#This Row],[Arr Time]]</f>
        <v>0</v>
      </c>
      <c r="AZ65" s="75">
        <f>tblData[[#This Row],[Dep Date]]+tblData[[#This Row],[Dep Time]]</f>
        <v>0</v>
      </c>
      <c r="BA65" s="72">
        <f>COUNTIF(tblData[Surname],"&lt;="&amp;tblData[Surname])</f>
        <v>0</v>
      </c>
      <c r="BB65" s="72">
        <f>COUNTIF(tblData[Given name],"&lt;="&amp;tblData[Given name])</f>
        <v>0</v>
      </c>
      <c r="BC65" s="72">
        <f>COUNTIF(tblData[Arr DateTime],"&lt;="&amp;tblData[Arr DateTime])</f>
        <v>110</v>
      </c>
      <c r="BD65" s="72">
        <f>COUNTIF(tblData[Dep DateTime],"&lt;="&amp;tblData[Dep DateTime])</f>
        <v>110</v>
      </c>
      <c r="BE65" s="72">
        <f>COUNTIF(tblData[ShuttleAtDeparture],"&lt;="&amp;tblData[ShuttleAtDeparture])</f>
        <v>0</v>
      </c>
      <c r="BI65" s="6" t="str">
        <f t="array" ref="BI65">IF(ROWS(tblData[[#Headers],[Id]]:tblData[[#This Row],[Id]])-1&gt;$BI$11,"",INDEX(tblData[Id],SMALL(IF(LEN(TRIM(tblData[Surname]))*((tblData[Type]=$BI$9)+(tblData[Type]=$BI$10)),ROW(tblData[Id])-ROW(tblData[[#Headers],[Id]])),ROWS(tblData[[#Headers],[Id]]:tblData[[#This Row],[Id]])-1)))</f>
        <v/>
      </c>
      <c r="BK65" s="6" t="str">
        <f>IF(ROWS(tblCoachesAndOfficialsSorted[[#Headers],[Id]]:tblCoachesAndOfficialsSorted[[#This Row],[Id]])-1&gt;$BK$11,"",SMALL(tblCoachesAndOfficials[Id],ROWS(tblCoachesAndOfficialsSorted[[#Headers],[Id]]:tblCoachesAndOfficialsSorted[[#This Row],[Id]])-1))</f>
        <v/>
      </c>
      <c r="BM65" s="6" t="str">
        <f t="array" ref="BM65">IF(ROWS(tblData[[#Headers],[Id]]:tblData[[#This Row],[Id]])-1&gt;$BM$11,"",INDEX(tblData[Id],SMALL(IF(LEN(TRIM(tblData[Surname]))*(tblData[Type]=$BM$9),ROW(tblData[Id])-ROW(tblData[[#Headers],[Id]])),ROWS(tblData[[#Headers],[Id]]:tblData[[#This Row],[Id]])-1)))</f>
        <v/>
      </c>
      <c r="BO65" s="6" t="str">
        <f>IF(ROWS(tblWomenSorted[[#Headers],[Id]]:tblWomenSorted[[#This Row],[Id]])-1&gt;$BO$11,"",SMALL(tblWomen[Id],ROWS(tblWomenSorted[[#Headers],[Id]]:tblWomenSorted[[#This Row],[Id]])-1))</f>
        <v/>
      </c>
      <c r="BP65" s="17"/>
      <c r="BQ65" s="6" t="str">
        <f t="array" ref="BQ65">IF(ROWS(tblData[[#Headers],[Id]]:tblData[[#This Row],[Id]])-1&gt;$BQ$11,"",INDEX(tblData[Id],SMALL(IF(LEN(TRIM(tblData[Surname]))*(tblData[Type]=$BQ$9),ROW(tblData[Id])-ROW(tblData[[#Headers],[Id]])),ROWS(tblData[[#Headers],[Id]]:tblData[[#This Row],[Id]])-1)))</f>
        <v/>
      </c>
      <c r="BS65" s="6" t="str">
        <f>IF(ROWS(tblMenSorted[[#Headers],[Id]]:tblMenSorted[[#This Row],[Id]])-1&gt;$BS$11,"",SMALL(tblMen[Id],ROWS(tblMenSorted[[#Headers],[Id]]:tblMenSorted[[#This Row],[Id]])-1))</f>
        <v/>
      </c>
      <c r="BU65" s="6" t="str">
        <f t="array" ref="BU65">IF(ROWS(tblData[[#Headers],[Sorted Name Id]]:tblData[[#This Row],[Sorted Name Id]])-1&gt;$BU$11,"",INDEX(tblData[Sorted Name Id],SMALL(IF(LEN(TRIM(tblData[Surname]))*(tblData[Visa required]="YES"),ROW(tblData[Sorted Name Id])-ROW(tblData[[#Headers],[Sorted Name Id]])),ROWS(tblData[[#Headers],[Sorted Name Id]]:tblData[[#This Row],[Sorted Name Id]])-1)))</f>
        <v/>
      </c>
      <c r="BW65" s="6" t="str">
        <f>IF(ROWS(tblVisasSorted[[#Headers],[Id]]:tblVisasSorted[[#This Row],[Id]])-1&gt;$BW$11,"",SMALL(tblVisas[Id],ROWS(tblVisasSorted[[#Headers],[Id]]:tblVisasSorted[[#This Row],[Id]])-1))</f>
        <v/>
      </c>
      <c r="BY65" s="6" t="str">
        <f t="array" ref="BY65">IF(ROWS(tblData[[#Headers],[Sorted Arr Id]]:tblData[[#This Row],[Sorted Arr Id]])-1&gt;$BY$11,"",INDEX(tblData[Sorted Arr Id],SMALL(IF(LEN(TRIM(tblData[Surname]))*(tblData[Arr DateTime]&gt;0),ROW(tblData[Sorted Arr Id])-ROW(tblData[[#Headers],[Sorted Arr Id]])),ROWS(tblData[[#Headers],[Sorted Arr Id]]:tblData[[#This Row],[Sorted Arr Id]])-1)))</f>
        <v/>
      </c>
      <c r="CA65" s="6" t="str">
        <f>IF(ROWS(tblArrivalSorted[[#Headers],[Id]]:tblArrivalSorted[[#This Row],[Id]])-1&gt;$CA$11,"",SMALL(tblArrival[Id],ROWS(tblArrivalSorted[[#Headers],[Id]]:tblArrivalSorted[[#This Row],[Id]])-1))</f>
        <v/>
      </c>
      <c r="CC65" s="6" t="str">
        <f t="array" ref="CC65">IF(ROWS(tblData[[#Headers],[Sorted Dep Id]]:tblData[[#This Row],[Sorted Dep Id]])-1&gt;$CC$11,"",INDEX(tblData[Sorted Dep Id],SMALL(IF(LEN(TRIM(tblData[Surname]))*(tblData[Dep DateTime]&gt;0),ROW(tblData[Sorted Dep Id])-ROW(tblData[[#Headers],[Sorted Dep Id]])),ROWS(tblData[[#Headers],[Sorted Dep Id]]:tblData[[#This Row],[Sorted Dep Id]])-1)))</f>
        <v/>
      </c>
      <c r="CE65" s="6" t="str">
        <f>IF(ROWS(tblDepartureSorted[[#Headers],[Id]]:tblDepartureSorted[[#This Row],[Id]])-1&gt;$CE$11,"",SMALL(tblDeparture[Id],ROWS(tblDepartureSorted[[#Headers],[Id]]:tblDepartureSorted[[#This Row],[Id]])-1))</f>
        <v/>
      </c>
      <c r="CG65" s="6" t="str">
        <f t="array" ref="CG65">IF(ROWS(tblData[[#Headers],[Id]]:tblData[[#This Row],[Id]])-1&gt;$CG$11,"",INDEX(tblData[Id],SMALL(IF(LEN(TRIM(tblData[Surname])),ROW(tblData[Id])-ROW(tblData[[#Headers],[Id]])),ROWS(tblData[[#Headers],[Id]]:tblData[[#This Row],[Id]])-1)))</f>
        <v/>
      </c>
    </row>
    <row r="66" spans="1:85" s="6" customFormat="1">
      <c r="A66" s="14">
        <f>IF(ISNUMBER(tblData[[#This Row],[SubType2]]),tblData[[#This Row],[SubType2]]*10000+tblData[[#This Row],[No]],1000000+tblData[[#This Row],[No]])</f>
        <v>1000053</v>
      </c>
      <c r="B66" s="14">
        <f>IFERROR(tblData[[#This Row],[Surname Rang]]*1000+tblData[[#This Row],[Given Name Rang]]+tblData[[#This Row],[No]]/1000,"")</f>
        <v>5.2999999999999999E-2</v>
      </c>
      <c r="C66" s="14">
        <f>IFERROR(tblData[[#This Row],[Arr DateTime Rang]]+tblData[[#This Row],[No]]/1000,"")</f>
        <v>110.053</v>
      </c>
      <c r="D66" s="14">
        <f>IFERROR(tblData[[#This Row],[Dep DateTime Rang]]+tblData[[#This Row],[No]]/1000,"")</f>
        <v>110.053</v>
      </c>
      <c r="E66" s="362">
        <f t="shared" si="1"/>
        <v>53</v>
      </c>
      <c r="F66" s="370"/>
      <c r="G66" s="331"/>
      <c r="H66" s="328"/>
      <c r="I66" s="329"/>
      <c r="J66" s="330"/>
      <c r="K66" s="369"/>
      <c r="L66" s="375"/>
      <c r="M66" s="331"/>
      <c r="N66" s="331"/>
      <c r="O66" s="331"/>
      <c r="P66" s="329"/>
      <c r="Q66" s="376"/>
      <c r="R66" s="383"/>
      <c r="S66" s="332"/>
      <c r="T66" s="331"/>
      <c r="U66" s="333"/>
      <c r="V66" s="333"/>
      <c r="W66" s="384"/>
      <c r="X66" s="383"/>
      <c r="Y66" s="332"/>
      <c r="Z66" s="331"/>
      <c r="AA66" s="331"/>
      <c r="AB66" s="333"/>
      <c r="AC66" s="384"/>
      <c r="AD66" s="375"/>
      <c r="AE66" s="369"/>
      <c r="AF66" s="397"/>
      <c r="AG66" s="328"/>
      <c r="AH66" s="328"/>
      <c r="AI66" s="328"/>
      <c r="AJ66" s="328"/>
      <c r="AK66" s="328"/>
      <c r="AL66" s="328"/>
      <c r="AM66" s="328"/>
      <c r="AN66" s="398"/>
      <c r="AO66" s="402" t="str">
        <f>IF(ISBLANK(tblData[[#This Row],[Surname]]),"",IF(tblData[[#This Row],[Bill Accred Fee]]=0,"NO","YES"))</f>
        <v/>
      </c>
      <c r="AP66" s="406">
        <f>IF(AND(NOT(ISBLANK(tblData[[#This Row],[Surname]])),COUNTA(tblData[[#This Row],[Day 1]:[Day 9]])=0),1,0)</f>
        <v>0</v>
      </c>
      <c r="AQ66" s="406">
        <f>IF(AND(NOT(ISBLANK(tblData[[#This Row],[Surname]])),tblData[[#This Row],[Position]]="Athlete"),1,0)</f>
        <v>0</v>
      </c>
      <c r="AR66" s="433">
        <f>EntryFee*tblData[[#This Row],[Entry Fee Billable]]</f>
        <v>0</v>
      </c>
      <c r="AS66" s="410" t="e">
        <f>IF(ISBLANK(SelectedCategory),"No Cat!",IF(ISBLANK($F66),0,IFERROR(VLOOKUP(AS$12&amp;", "&amp;tblData[[#This Row],[Day 1]],tblAccommodationCosts[],5,FALSE),0)+IFERROR(VLOOKUP(AS$12&amp;", "&amp;tblData[[#This Row],[Day 2]],tblAccommodationCosts[],5,FALSE),0)+IFERROR(VLOOKUP(AS$12&amp;", "&amp;tblData[[#This Row],[Day 3]],tblAccommodationCosts[],5,FALSE),0)+IFERROR(VLOOKUP(AS$12&amp;", "&amp;tblData[[#This Row],[Day 4]],tblAccommodationCosts[],5,FALSE),0)+IFERROR(VLOOKUP(AS$12&amp;", "&amp;tblData[[#This Row],[Day 5]],tblAccommodationCosts[],5,FALSE),0)+IFERROR(VLOOKUP(AS$12&amp;", "&amp;tblData[[#This Row],[Day 6]],tblAccommodationCosts[],5,FALSE),0)+IFERROR(VLOOKUP(AS$12&amp;", "&amp;tblData[[#This Row],[Day 7]],tblAccommodationCosts[],5,FALSE),0)+IFERROR(VLOOKUP(AS$12&amp;", "&amp;tblData[[#This Row],[Day 8]],tblAccommodationCosts[],5,FALSE),0)+IFERROR(VLOOKUP(AS$12&amp;", "&amp;tblData[[#This Row],[Day 9]],tblAccommodationCosts[],5,FALSE),0)+AccreditationFee*tblData[[#This Row],[Bill Accred Fee]]))+tblData[[#This Row],[Entry Fee]]</f>
        <v>#VALUE!</v>
      </c>
      <c r="AT66" s="324" t="str">
        <f>IFERROR(VLOOKUP(tblData[[#This Row],[Weight Category, Function, and Gender]],tblWeightOrFunction[],3,0),"")</f>
        <v/>
      </c>
      <c r="AU66" s="84" t="str">
        <f>IFERROR(VLOOKUP(tblData[[#This Row],[Weight Category, Function, and Gender]],tblWeightOrFunction[],4,0),"")</f>
        <v/>
      </c>
      <c r="AV66" s="85" t="str">
        <f>IFERROR(VLOOKUP(tblData[[#This Row],[Weight Category, Function, and Gender]],tblWeightOrFunction[],7,0),"")</f>
        <v/>
      </c>
      <c r="AW66" s="84" t="str">
        <f>IFERROR(VLOOKUP(tblData[[#This Row],[Weight Category, Function, and Gender]],tblWeightOrFunction[],6,0),"")</f>
        <v/>
      </c>
      <c r="AX66" s="84" t="str">
        <f>IFERROR(VLOOKUP(tblData[[#This Row],[Weight Category, Function, and Gender]],tblWeightOrFunction[],2,0),"")</f>
        <v/>
      </c>
      <c r="AY66" s="75">
        <f>tblData[[#This Row],[Arr Date]]+tblData[[#This Row],[Arr Time]]</f>
        <v>0</v>
      </c>
      <c r="AZ66" s="75">
        <f>tblData[[#This Row],[Dep Date]]+tblData[[#This Row],[Dep Time]]</f>
        <v>0</v>
      </c>
      <c r="BA66" s="72">
        <f>COUNTIF(tblData[Surname],"&lt;="&amp;tblData[Surname])</f>
        <v>0</v>
      </c>
      <c r="BB66" s="72">
        <f>COUNTIF(tblData[Given name],"&lt;="&amp;tblData[Given name])</f>
        <v>0</v>
      </c>
      <c r="BC66" s="72">
        <f>COUNTIF(tblData[Arr DateTime],"&lt;="&amp;tblData[Arr DateTime])</f>
        <v>110</v>
      </c>
      <c r="BD66" s="72">
        <f>COUNTIF(tblData[Dep DateTime],"&lt;="&amp;tblData[Dep DateTime])</f>
        <v>110</v>
      </c>
      <c r="BE66" s="72">
        <f>COUNTIF(tblData[ShuttleAtDeparture],"&lt;="&amp;tblData[ShuttleAtDeparture])</f>
        <v>0</v>
      </c>
      <c r="BI66" s="6" t="str">
        <f t="array" ref="BI66">IF(ROWS(tblData[[#Headers],[Id]]:tblData[[#This Row],[Id]])-1&gt;$BI$11,"",INDEX(tblData[Id],SMALL(IF(LEN(TRIM(tblData[Surname]))*((tblData[Type]=$BI$9)+(tblData[Type]=$BI$10)),ROW(tblData[Id])-ROW(tblData[[#Headers],[Id]])),ROWS(tblData[[#Headers],[Id]]:tblData[[#This Row],[Id]])-1)))</f>
        <v/>
      </c>
      <c r="BK66" s="6" t="str">
        <f>IF(ROWS(tblCoachesAndOfficialsSorted[[#Headers],[Id]]:tblCoachesAndOfficialsSorted[[#This Row],[Id]])-1&gt;$BK$11,"",SMALL(tblCoachesAndOfficials[Id],ROWS(tblCoachesAndOfficialsSorted[[#Headers],[Id]]:tblCoachesAndOfficialsSorted[[#This Row],[Id]])-1))</f>
        <v/>
      </c>
      <c r="BM66" s="6" t="str">
        <f t="array" ref="BM66">IF(ROWS(tblData[[#Headers],[Id]]:tblData[[#This Row],[Id]])-1&gt;$BM$11,"",INDEX(tblData[Id],SMALL(IF(LEN(TRIM(tblData[Surname]))*(tblData[Type]=$BM$9),ROW(tblData[Id])-ROW(tblData[[#Headers],[Id]])),ROWS(tblData[[#Headers],[Id]]:tblData[[#This Row],[Id]])-1)))</f>
        <v/>
      </c>
      <c r="BO66" s="6" t="str">
        <f>IF(ROWS(tblWomenSorted[[#Headers],[Id]]:tblWomenSorted[[#This Row],[Id]])-1&gt;$BO$11,"",SMALL(tblWomen[Id],ROWS(tblWomenSorted[[#Headers],[Id]]:tblWomenSorted[[#This Row],[Id]])-1))</f>
        <v/>
      </c>
      <c r="BP66" s="17"/>
      <c r="BQ66" s="6" t="str">
        <f t="array" ref="BQ66">IF(ROWS(tblData[[#Headers],[Id]]:tblData[[#This Row],[Id]])-1&gt;$BQ$11,"",INDEX(tblData[Id],SMALL(IF(LEN(TRIM(tblData[Surname]))*(tblData[Type]=$BQ$9),ROW(tblData[Id])-ROW(tblData[[#Headers],[Id]])),ROWS(tblData[[#Headers],[Id]]:tblData[[#This Row],[Id]])-1)))</f>
        <v/>
      </c>
      <c r="BS66" s="6" t="str">
        <f>IF(ROWS(tblMenSorted[[#Headers],[Id]]:tblMenSorted[[#This Row],[Id]])-1&gt;$BS$11,"",SMALL(tblMen[Id],ROWS(tblMenSorted[[#Headers],[Id]]:tblMenSorted[[#This Row],[Id]])-1))</f>
        <v/>
      </c>
      <c r="BU66" s="6" t="str">
        <f t="array" ref="BU66">IF(ROWS(tblData[[#Headers],[Sorted Name Id]]:tblData[[#This Row],[Sorted Name Id]])-1&gt;$BU$11,"",INDEX(tblData[Sorted Name Id],SMALL(IF(LEN(TRIM(tblData[Surname]))*(tblData[Visa required]="YES"),ROW(tblData[Sorted Name Id])-ROW(tblData[[#Headers],[Sorted Name Id]])),ROWS(tblData[[#Headers],[Sorted Name Id]]:tblData[[#This Row],[Sorted Name Id]])-1)))</f>
        <v/>
      </c>
      <c r="BW66" s="6" t="str">
        <f>IF(ROWS(tblVisasSorted[[#Headers],[Id]]:tblVisasSorted[[#This Row],[Id]])-1&gt;$BW$11,"",SMALL(tblVisas[Id],ROWS(tblVisasSorted[[#Headers],[Id]]:tblVisasSorted[[#This Row],[Id]])-1))</f>
        <v/>
      </c>
      <c r="BY66" s="6" t="str">
        <f t="array" ref="BY66">IF(ROWS(tblData[[#Headers],[Sorted Arr Id]]:tblData[[#This Row],[Sorted Arr Id]])-1&gt;$BY$11,"",INDEX(tblData[Sorted Arr Id],SMALL(IF(LEN(TRIM(tblData[Surname]))*(tblData[Arr DateTime]&gt;0),ROW(tblData[Sorted Arr Id])-ROW(tblData[[#Headers],[Sorted Arr Id]])),ROWS(tblData[[#Headers],[Sorted Arr Id]]:tblData[[#This Row],[Sorted Arr Id]])-1)))</f>
        <v/>
      </c>
      <c r="CA66" s="6" t="str">
        <f>IF(ROWS(tblArrivalSorted[[#Headers],[Id]]:tblArrivalSorted[[#This Row],[Id]])-1&gt;$CA$11,"",SMALL(tblArrival[Id],ROWS(tblArrivalSorted[[#Headers],[Id]]:tblArrivalSorted[[#This Row],[Id]])-1))</f>
        <v/>
      </c>
      <c r="CC66" s="6" t="str">
        <f t="array" ref="CC66">IF(ROWS(tblData[[#Headers],[Sorted Dep Id]]:tblData[[#This Row],[Sorted Dep Id]])-1&gt;$CC$11,"",INDEX(tblData[Sorted Dep Id],SMALL(IF(LEN(TRIM(tblData[Surname]))*(tblData[Dep DateTime]&gt;0),ROW(tblData[Sorted Dep Id])-ROW(tblData[[#Headers],[Sorted Dep Id]])),ROWS(tblData[[#Headers],[Sorted Dep Id]]:tblData[[#This Row],[Sorted Dep Id]])-1)))</f>
        <v/>
      </c>
      <c r="CE66" s="6" t="str">
        <f>IF(ROWS(tblDepartureSorted[[#Headers],[Id]]:tblDepartureSorted[[#This Row],[Id]])-1&gt;$CE$11,"",SMALL(tblDeparture[Id],ROWS(tblDepartureSorted[[#Headers],[Id]]:tblDepartureSorted[[#This Row],[Id]])-1))</f>
        <v/>
      </c>
      <c r="CG66" s="6" t="str">
        <f t="array" ref="CG66">IF(ROWS(tblData[[#Headers],[Id]]:tblData[[#This Row],[Id]])-1&gt;$CG$11,"",INDEX(tblData[Id],SMALL(IF(LEN(TRIM(tblData[Surname])),ROW(tblData[Id])-ROW(tblData[[#Headers],[Id]])),ROWS(tblData[[#Headers],[Id]]:tblData[[#This Row],[Id]])-1)))</f>
        <v/>
      </c>
    </row>
    <row r="67" spans="1:85" s="6" customFormat="1">
      <c r="A67" s="14">
        <f>IF(ISNUMBER(tblData[[#This Row],[SubType2]]),tblData[[#This Row],[SubType2]]*10000+tblData[[#This Row],[No]],1000000+tblData[[#This Row],[No]])</f>
        <v>1000054</v>
      </c>
      <c r="B67" s="14">
        <f>IFERROR(tblData[[#This Row],[Surname Rang]]*1000+tblData[[#This Row],[Given Name Rang]]+tblData[[#This Row],[No]]/1000,"")</f>
        <v>5.3999999999999999E-2</v>
      </c>
      <c r="C67" s="14">
        <f>IFERROR(tblData[[#This Row],[Arr DateTime Rang]]+tblData[[#This Row],[No]]/1000,"")</f>
        <v>110.054</v>
      </c>
      <c r="D67" s="14">
        <f>IFERROR(tblData[[#This Row],[Dep DateTime Rang]]+tblData[[#This Row],[No]]/1000,"")</f>
        <v>110.054</v>
      </c>
      <c r="E67" s="362">
        <f t="shared" si="1"/>
        <v>54</v>
      </c>
      <c r="F67" s="370"/>
      <c r="G67" s="331"/>
      <c r="H67" s="328"/>
      <c r="I67" s="329"/>
      <c r="J67" s="330"/>
      <c r="K67" s="369"/>
      <c r="L67" s="375"/>
      <c r="M67" s="331"/>
      <c r="N67" s="331"/>
      <c r="O67" s="331"/>
      <c r="P67" s="329"/>
      <c r="Q67" s="376"/>
      <c r="R67" s="383"/>
      <c r="S67" s="332"/>
      <c r="T67" s="331"/>
      <c r="U67" s="333"/>
      <c r="V67" s="333"/>
      <c r="W67" s="384"/>
      <c r="X67" s="383"/>
      <c r="Y67" s="332"/>
      <c r="Z67" s="331"/>
      <c r="AA67" s="331"/>
      <c r="AB67" s="333"/>
      <c r="AC67" s="384"/>
      <c r="AD67" s="375"/>
      <c r="AE67" s="369"/>
      <c r="AF67" s="397"/>
      <c r="AG67" s="328"/>
      <c r="AH67" s="328"/>
      <c r="AI67" s="328"/>
      <c r="AJ67" s="328"/>
      <c r="AK67" s="328"/>
      <c r="AL67" s="328"/>
      <c r="AM67" s="328"/>
      <c r="AN67" s="398"/>
      <c r="AO67" s="402" t="str">
        <f>IF(ISBLANK(tblData[[#This Row],[Surname]]),"",IF(tblData[[#This Row],[Bill Accred Fee]]=0,"NO","YES"))</f>
        <v/>
      </c>
      <c r="AP67" s="406">
        <f>IF(AND(NOT(ISBLANK(tblData[[#This Row],[Surname]])),COUNTA(tblData[[#This Row],[Day 1]:[Day 9]])=0),1,0)</f>
        <v>0</v>
      </c>
      <c r="AQ67" s="406">
        <f>IF(AND(NOT(ISBLANK(tblData[[#This Row],[Surname]])),tblData[[#This Row],[Position]]="Athlete"),1,0)</f>
        <v>0</v>
      </c>
      <c r="AR67" s="433">
        <f>EntryFee*tblData[[#This Row],[Entry Fee Billable]]</f>
        <v>0</v>
      </c>
      <c r="AS67" s="410" t="e">
        <f>IF(ISBLANK(SelectedCategory),"No Cat!",IF(ISBLANK($F67),0,IFERROR(VLOOKUP(AS$12&amp;", "&amp;tblData[[#This Row],[Day 1]],tblAccommodationCosts[],5,FALSE),0)+IFERROR(VLOOKUP(AS$12&amp;", "&amp;tblData[[#This Row],[Day 2]],tblAccommodationCosts[],5,FALSE),0)+IFERROR(VLOOKUP(AS$12&amp;", "&amp;tblData[[#This Row],[Day 3]],tblAccommodationCosts[],5,FALSE),0)+IFERROR(VLOOKUP(AS$12&amp;", "&amp;tblData[[#This Row],[Day 4]],tblAccommodationCosts[],5,FALSE),0)+IFERROR(VLOOKUP(AS$12&amp;", "&amp;tblData[[#This Row],[Day 5]],tblAccommodationCosts[],5,FALSE),0)+IFERROR(VLOOKUP(AS$12&amp;", "&amp;tblData[[#This Row],[Day 6]],tblAccommodationCosts[],5,FALSE),0)+IFERROR(VLOOKUP(AS$12&amp;", "&amp;tblData[[#This Row],[Day 7]],tblAccommodationCosts[],5,FALSE),0)+IFERROR(VLOOKUP(AS$12&amp;", "&amp;tblData[[#This Row],[Day 8]],tblAccommodationCosts[],5,FALSE),0)+IFERROR(VLOOKUP(AS$12&amp;", "&amp;tblData[[#This Row],[Day 9]],tblAccommodationCosts[],5,FALSE),0)+AccreditationFee*tblData[[#This Row],[Bill Accred Fee]]))+tblData[[#This Row],[Entry Fee]]</f>
        <v>#VALUE!</v>
      </c>
      <c r="AT67" s="324" t="str">
        <f>IFERROR(VLOOKUP(tblData[[#This Row],[Weight Category, Function, and Gender]],tblWeightOrFunction[],3,0),"")</f>
        <v/>
      </c>
      <c r="AU67" s="84" t="str">
        <f>IFERROR(VLOOKUP(tblData[[#This Row],[Weight Category, Function, and Gender]],tblWeightOrFunction[],4,0),"")</f>
        <v/>
      </c>
      <c r="AV67" s="85" t="str">
        <f>IFERROR(VLOOKUP(tblData[[#This Row],[Weight Category, Function, and Gender]],tblWeightOrFunction[],7,0),"")</f>
        <v/>
      </c>
      <c r="AW67" s="84" t="str">
        <f>IFERROR(VLOOKUP(tblData[[#This Row],[Weight Category, Function, and Gender]],tblWeightOrFunction[],6,0),"")</f>
        <v/>
      </c>
      <c r="AX67" s="84" t="str">
        <f>IFERROR(VLOOKUP(tblData[[#This Row],[Weight Category, Function, and Gender]],tblWeightOrFunction[],2,0),"")</f>
        <v/>
      </c>
      <c r="AY67" s="75">
        <f>tblData[[#This Row],[Arr Date]]+tblData[[#This Row],[Arr Time]]</f>
        <v>0</v>
      </c>
      <c r="AZ67" s="75">
        <f>tblData[[#This Row],[Dep Date]]+tblData[[#This Row],[Dep Time]]</f>
        <v>0</v>
      </c>
      <c r="BA67" s="72">
        <f>COUNTIF(tblData[Surname],"&lt;="&amp;tblData[Surname])</f>
        <v>0</v>
      </c>
      <c r="BB67" s="72">
        <f>COUNTIF(tblData[Given name],"&lt;="&amp;tblData[Given name])</f>
        <v>0</v>
      </c>
      <c r="BC67" s="72">
        <f>COUNTIF(tblData[Arr DateTime],"&lt;="&amp;tblData[Arr DateTime])</f>
        <v>110</v>
      </c>
      <c r="BD67" s="72">
        <f>COUNTIF(tblData[Dep DateTime],"&lt;="&amp;tblData[Dep DateTime])</f>
        <v>110</v>
      </c>
      <c r="BE67" s="72">
        <f>COUNTIF(tblData[ShuttleAtDeparture],"&lt;="&amp;tblData[ShuttleAtDeparture])</f>
        <v>0</v>
      </c>
      <c r="BI67" s="6" t="str">
        <f t="array" ref="BI67">IF(ROWS(tblData[[#Headers],[Id]]:tblData[[#This Row],[Id]])-1&gt;$BI$11,"",INDEX(tblData[Id],SMALL(IF(LEN(TRIM(tblData[Surname]))*((tblData[Type]=$BI$9)+(tblData[Type]=$BI$10)),ROW(tblData[Id])-ROW(tblData[[#Headers],[Id]])),ROWS(tblData[[#Headers],[Id]]:tblData[[#This Row],[Id]])-1)))</f>
        <v/>
      </c>
      <c r="BK67" s="6" t="str">
        <f>IF(ROWS(tblCoachesAndOfficialsSorted[[#Headers],[Id]]:tblCoachesAndOfficialsSorted[[#This Row],[Id]])-1&gt;$BK$11,"",SMALL(tblCoachesAndOfficials[Id],ROWS(tblCoachesAndOfficialsSorted[[#Headers],[Id]]:tblCoachesAndOfficialsSorted[[#This Row],[Id]])-1))</f>
        <v/>
      </c>
      <c r="BM67" s="6" t="str">
        <f t="array" ref="BM67">IF(ROWS(tblData[[#Headers],[Id]]:tblData[[#This Row],[Id]])-1&gt;$BM$11,"",INDEX(tblData[Id],SMALL(IF(LEN(TRIM(tblData[Surname]))*(tblData[Type]=$BM$9),ROW(tblData[Id])-ROW(tblData[[#Headers],[Id]])),ROWS(tblData[[#Headers],[Id]]:tblData[[#This Row],[Id]])-1)))</f>
        <v/>
      </c>
      <c r="BO67" s="6" t="str">
        <f>IF(ROWS(tblWomenSorted[[#Headers],[Id]]:tblWomenSorted[[#This Row],[Id]])-1&gt;$BO$11,"",SMALL(tblWomen[Id],ROWS(tblWomenSorted[[#Headers],[Id]]:tblWomenSorted[[#This Row],[Id]])-1))</f>
        <v/>
      </c>
      <c r="BP67" s="17"/>
      <c r="BQ67" s="6" t="str">
        <f t="array" ref="BQ67">IF(ROWS(tblData[[#Headers],[Id]]:tblData[[#This Row],[Id]])-1&gt;$BQ$11,"",INDEX(tblData[Id],SMALL(IF(LEN(TRIM(tblData[Surname]))*(tblData[Type]=$BQ$9),ROW(tblData[Id])-ROW(tblData[[#Headers],[Id]])),ROWS(tblData[[#Headers],[Id]]:tblData[[#This Row],[Id]])-1)))</f>
        <v/>
      </c>
      <c r="BS67" s="6" t="str">
        <f>IF(ROWS(tblMenSorted[[#Headers],[Id]]:tblMenSorted[[#This Row],[Id]])-1&gt;$BS$11,"",SMALL(tblMen[Id],ROWS(tblMenSorted[[#Headers],[Id]]:tblMenSorted[[#This Row],[Id]])-1))</f>
        <v/>
      </c>
      <c r="BU67" s="6" t="str">
        <f t="array" ref="BU67">IF(ROWS(tblData[[#Headers],[Sorted Name Id]]:tblData[[#This Row],[Sorted Name Id]])-1&gt;$BU$11,"",INDEX(tblData[Sorted Name Id],SMALL(IF(LEN(TRIM(tblData[Surname]))*(tblData[Visa required]="YES"),ROW(tblData[Sorted Name Id])-ROW(tblData[[#Headers],[Sorted Name Id]])),ROWS(tblData[[#Headers],[Sorted Name Id]]:tblData[[#This Row],[Sorted Name Id]])-1)))</f>
        <v/>
      </c>
      <c r="BW67" s="6" t="str">
        <f>IF(ROWS(tblVisasSorted[[#Headers],[Id]]:tblVisasSorted[[#This Row],[Id]])-1&gt;$BW$11,"",SMALL(tblVisas[Id],ROWS(tblVisasSorted[[#Headers],[Id]]:tblVisasSorted[[#This Row],[Id]])-1))</f>
        <v/>
      </c>
      <c r="BY67" s="6" t="str">
        <f t="array" ref="BY67">IF(ROWS(tblData[[#Headers],[Sorted Arr Id]]:tblData[[#This Row],[Sorted Arr Id]])-1&gt;$BY$11,"",INDEX(tblData[Sorted Arr Id],SMALL(IF(LEN(TRIM(tblData[Surname]))*(tblData[Arr DateTime]&gt;0),ROW(tblData[Sorted Arr Id])-ROW(tblData[[#Headers],[Sorted Arr Id]])),ROWS(tblData[[#Headers],[Sorted Arr Id]]:tblData[[#This Row],[Sorted Arr Id]])-1)))</f>
        <v/>
      </c>
      <c r="CA67" s="6" t="str">
        <f>IF(ROWS(tblArrivalSorted[[#Headers],[Id]]:tblArrivalSorted[[#This Row],[Id]])-1&gt;$CA$11,"",SMALL(tblArrival[Id],ROWS(tblArrivalSorted[[#Headers],[Id]]:tblArrivalSorted[[#This Row],[Id]])-1))</f>
        <v/>
      </c>
      <c r="CC67" s="6" t="str">
        <f t="array" ref="CC67">IF(ROWS(tblData[[#Headers],[Sorted Dep Id]]:tblData[[#This Row],[Sorted Dep Id]])-1&gt;$CC$11,"",INDEX(tblData[Sorted Dep Id],SMALL(IF(LEN(TRIM(tblData[Surname]))*(tblData[Dep DateTime]&gt;0),ROW(tblData[Sorted Dep Id])-ROW(tblData[[#Headers],[Sorted Dep Id]])),ROWS(tblData[[#Headers],[Sorted Dep Id]]:tblData[[#This Row],[Sorted Dep Id]])-1)))</f>
        <v/>
      </c>
      <c r="CE67" s="6" t="str">
        <f>IF(ROWS(tblDepartureSorted[[#Headers],[Id]]:tblDepartureSorted[[#This Row],[Id]])-1&gt;$CE$11,"",SMALL(tblDeparture[Id],ROWS(tblDepartureSorted[[#Headers],[Id]]:tblDepartureSorted[[#This Row],[Id]])-1))</f>
        <v/>
      </c>
      <c r="CG67" s="6" t="str">
        <f t="array" ref="CG67">IF(ROWS(tblData[[#Headers],[Id]]:tblData[[#This Row],[Id]])-1&gt;$CG$11,"",INDEX(tblData[Id],SMALL(IF(LEN(TRIM(tblData[Surname])),ROW(tblData[Id])-ROW(tblData[[#Headers],[Id]])),ROWS(tblData[[#Headers],[Id]]:tblData[[#This Row],[Id]])-1)))</f>
        <v/>
      </c>
    </row>
    <row r="68" spans="1:85" s="6" customFormat="1">
      <c r="A68" s="14">
        <f>IF(ISNUMBER(tblData[[#This Row],[SubType2]]),tblData[[#This Row],[SubType2]]*10000+tblData[[#This Row],[No]],1000000+tblData[[#This Row],[No]])</f>
        <v>1000055</v>
      </c>
      <c r="B68" s="14">
        <f>IFERROR(tblData[[#This Row],[Surname Rang]]*1000+tblData[[#This Row],[Given Name Rang]]+tblData[[#This Row],[No]]/1000,"")</f>
        <v>5.5E-2</v>
      </c>
      <c r="C68" s="14">
        <f>IFERROR(tblData[[#This Row],[Arr DateTime Rang]]+tblData[[#This Row],[No]]/1000,"")</f>
        <v>110.05500000000001</v>
      </c>
      <c r="D68" s="14">
        <f>IFERROR(tblData[[#This Row],[Dep DateTime Rang]]+tblData[[#This Row],[No]]/1000,"")</f>
        <v>110.05500000000001</v>
      </c>
      <c r="E68" s="362">
        <f t="shared" si="1"/>
        <v>55</v>
      </c>
      <c r="F68" s="370"/>
      <c r="G68" s="331"/>
      <c r="H68" s="328"/>
      <c r="I68" s="329"/>
      <c r="J68" s="330"/>
      <c r="K68" s="369"/>
      <c r="L68" s="375"/>
      <c r="M68" s="331"/>
      <c r="N68" s="331"/>
      <c r="O68" s="331"/>
      <c r="P68" s="329"/>
      <c r="Q68" s="376"/>
      <c r="R68" s="383"/>
      <c r="S68" s="332"/>
      <c r="T68" s="331"/>
      <c r="U68" s="333"/>
      <c r="V68" s="333"/>
      <c r="W68" s="384"/>
      <c r="X68" s="383"/>
      <c r="Y68" s="332"/>
      <c r="Z68" s="331"/>
      <c r="AA68" s="331"/>
      <c r="AB68" s="333"/>
      <c r="AC68" s="384"/>
      <c r="AD68" s="375"/>
      <c r="AE68" s="369"/>
      <c r="AF68" s="397"/>
      <c r="AG68" s="328"/>
      <c r="AH68" s="328"/>
      <c r="AI68" s="328"/>
      <c r="AJ68" s="328"/>
      <c r="AK68" s="328"/>
      <c r="AL68" s="328"/>
      <c r="AM68" s="328"/>
      <c r="AN68" s="398"/>
      <c r="AO68" s="402" t="str">
        <f>IF(ISBLANK(tblData[[#This Row],[Surname]]),"",IF(tblData[[#This Row],[Bill Accred Fee]]=0,"NO","YES"))</f>
        <v/>
      </c>
      <c r="AP68" s="406">
        <f>IF(AND(NOT(ISBLANK(tblData[[#This Row],[Surname]])),COUNTA(tblData[[#This Row],[Day 1]:[Day 9]])=0),1,0)</f>
        <v>0</v>
      </c>
      <c r="AQ68" s="406">
        <f>IF(AND(NOT(ISBLANK(tblData[[#This Row],[Surname]])),tblData[[#This Row],[Position]]="Athlete"),1,0)</f>
        <v>0</v>
      </c>
      <c r="AR68" s="433">
        <f>EntryFee*tblData[[#This Row],[Entry Fee Billable]]</f>
        <v>0</v>
      </c>
      <c r="AS68" s="410" t="e">
        <f>IF(ISBLANK(SelectedCategory),"No Cat!",IF(ISBLANK($F68),0,IFERROR(VLOOKUP(AS$12&amp;", "&amp;tblData[[#This Row],[Day 1]],tblAccommodationCosts[],5,FALSE),0)+IFERROR(VLOOKUP(AS$12&amp;", "&amp;tblData[[#This Row],[Day 2]],tblAccommodationCosts[],5,FALSE),0)+IFERROR(VLOOKUP(AS$12&amp;", "&amp;tblData[[#This Row],[Day 3]],tblAccommodationCosts[],5,FALSE),0)+IFERROR(VLOOKUP(AS$12&amp;", "&amp;tblData[[#This Row],[Day 4]],tblAccommodationCosts[],5,FALSE),0)+IFERROR(VLOOKUP(AS$12&amp;", "&amp;tblData[[#This Row],[Day 5]],tblAccommodationCosts[],5,FALSE),0)+IFERROR(VLOOKUP(AS$12&amp;", "&amp;tblData[[#This Row],[Day 6]],tblAccommodationCosts[],5,FALSE),0)+IFERROR(VLOOKUP(AS$12&amp;", "&amp;tblData[[#This Row],[Day 7]],tblAccommodationCosts[],5,FALSE),0)+IFERROR(VLOOKUP(AS$12&amp;", "&amp;tblData[[#This Row],[Day 8]],tblAccommodationCosts[],5,FALSE),0)+IFERROR(VLOOKUP(AS$12&amp;", "&amp;tblData[[#This Row],[Day 9]],tblAccommodationCosts[],5,FALSE),0)+AccreditationFee*tblData[[#This Row],[Bill Accred Fee]]))+tblData[[#This Row],[Entry Fee]]</f>
        <v>#VALUE!</v>
      </c>
      <c r="AT68" s="324" t="str">
        <f>IFERROR(VLOOKUP(tblData[[#This Row],[Weight Category, Function, and Gender]],tblWeightOrFunction[],3,0),"")</f>
        <v/>
      </c>
      <c r="AU68" s="84" t="str">
        <f>IFERROR(VLOOKUP(tblData[[#This Row],[Weight Category, Function, and Gender]],tblWeightOrFunction[],4,0),"")</f>
        <v/>
      </c>
      <c r="AV68" s="85" t="str">
        <f>IFERROR(VLOOKUP(tblData[[#This Row],[Weight Category, Function, and Gender]],tblWeightOrFunction[],7,0),"")</f>
        <v/>
      </c>
      <c r="AW68" s="84" t="str">
        <f>IFERROR(VLOOKUP(tblData[[#This Row],[Weight Category, Function, and Gender]],tblWeightOrFunction[],6,0),"")</f>
        <v/>
      </c>
      <c r="AX68" s="84" t="str">
        <f>IFERROR(VLOOKUP(tblData[[#This Row],[Weight Category, Function, and Gender]],tblWeightOrFunction[],2,0),"")</f>
        <v/>
      </c>
      <c r="AY68" s="75">
        <f>tblData[[#This Row],[Arr Date]]+tblData[[#This Row],[Arr Time]]</f>
        <v>0</v>
      </c>
      <c r="AZ68" s="75">
        <f>tblData[[#This Row],[Dep Date]]+tblData[[#This Row],[Dep Time]]</f>
        <v>0</v>
      </c>
      <c r="BA68" s="72">
        <f>COUNTIF(tblData[Surname],"&lt;="&amp;tblData[Surname])</f>
        <v>0</v>
      </c>
      <c r="BB68" s="72">
        <f>COUNTIF(tblData[Given name],"&lt;="&amp;tblData[Given name])</f>
        <v>0</v>
      </c>
      <c r="BC68" s="72">
        <f>COUNTIF(tblData[Arr DateTime],"&lt;="&amp;tblData[Arr DateTime])</f>
        <v>110</v>
      </c>
      <c r="BD68" s="72">
        <f>COUNTIF(tblData[Dep DateTime],"&lt;="&amp;tblData[Dep DateTime])</f>
        <v>110</v>
      </c>
      <c r="BE68" s="72">
        <f>COUNTIF(tblData[ShuttleAtDeparture],"&lt;="&amp;tblData[ShuttleAtDeparture])</f>
        <v>0</v>
      </c>
      <c r="BI68" s="6" t="str">
        <f t="array" ref="BI68">IF(ROWS(tblData[[#Headers],[Id]]:tblData[[#This Row],[Id]])-1&gt;$BI$11,"",INDEX(tblData[Id],SMALL(IF(LEN(TRIM(tblData[Surname]))*((tblData[Type]=$BI$9)+(tblData[Type]=$BI$10)),ROW(tblData[Id])-ROW(tblData[[#Headers],[Id]])),ROWS(tblData[[#Headers],[Id]]:tblData[[#This Row],[Id]])-1)))</f>
        <v/>
      </c>
      <c r="BK68" s="6" t="str">
        <f>IF(ROWS(tblCoachesAndOfficialsSorted[[#Headers],[Id]]:tblCoachesAndOfficialsSorted[[#This Row],[Id]])-1&gt;$BK$11,"",SMALL(tblCoachesAndOfficials[Id],ROWS(tblCoachesAndOfficialsSorted[[#Headers],[Id]]:tblCoachesAndOfficialsSorted[[#This Row],[Id]])-1))</f>
        <v/>
      </c>
      <c r="BM68" s="6" t="str">
        <f t="array" ref="BM68">IF(ROWS(tblData[[#Headers],[Id]]:tblData[[#This Row],[Id]])-1&gt;$BM$11,"",INDEX(tblData[Id],SMALL(IF(LEN(TRIM(tblData[Surname]))*(tblData[Type]=$BM$9),ROW(tblData[Id])-ROW(tblData[[#Headers],[Id]])),ROWS(tblData[[#Headers],[Id]]:tblData[[#This Row],[Id]])-1)))</f>
        <v/>
      </c>
      <c r="BO68" s="6" t="str">
        <f>IF(ROWS(tblWomenSorted[[#Headers],[Id]]:tblWomenSorted[[#This Row],[Id]])-1&gt;$BO$11,"",SMALL(tblWomen[Id],ROWS(tblWomenSorted[[#Headers],[Id]]:tblWomenSorted[[#This Row],[Id]])-1))</f>
        <v/>
      </c>
      <c r="BP68" s="17"/>
      <c r="BQ68" s="6" t="str">
        <f t="array" ref="BQ68">IF(ROWS(tblData[[#Headers],[Id]]:tblData[[#This Row],[Id]])-1&gt;$BQ$11,"",INDEX(tblData[Id],SMALL(IF(LEN(TRIM(tblData[Surname]))*(tblData[Type]=$BQ$9),ROW(tblData[Id])-ROW(tblData[[#Headers],[Id]])),ROWS(tblData[[#Headers],[Id]]:tblData[[#This Row],[Id]])-1)))</f>
        <v/>
      </c>
      <c r="BS68" s="6" t="str">
        <f>IF(ROWS(tblMenSorted[[#Headers],[Id]]:tblMenSorted[[#This Row],[Id]])-1&gt;$BS$11,"",SMALL(tblMen[Id],ROWS(tblMenSorted[[#Headers],[Id]]:tblMenSorted[[#This Row],[Id]])-1))</f>
        <v/>
      </c>
      <c r="BU68" s="6" t="str">
        <f t="array" ref="BU68">IF(ROWS(tblData[[#Headers],[Sorted Name Id]]:tblData[[#This Row],[Sorted Name Id]])-1&gt;$BU$11,"",INDEX(tblData[Sorted Name Id],SMALL(IF(LEN(TRIM(tblData[Surname]))*(tblData[Visa required]="YES"),ROW(tblData[Sorted Name Id])-ROW(tblData[[#Headers],[Sorted Name Id]])),ROWS(tblData[[#Headers],[Sorted Name Id]]:tblData[[#This Row],[Sorted Name Id]])-1)))</f>
        <v/>
      </c>
      <c r="BW68" s="6" t="str">
        <f>IF(ROWS(tblVisasSorted[[#Headers],[Id]]:tblVisasSorted[[#This Row],[Id]])-1&gt;$BW$11,"",SMALL(tblVisas[Id],ROWS(tblVisasSorted[[#Headers],[Id]]:tblVisasSorted[[#This Row],[Id]])-1))</f>
        <v/>
      </c>
      <c r="BY68" s="6" t="str">
        <f t="array" ref="BY68">IF(ROWS(tblData[[#Headers],[Sorted Arr Id]]:tblData[[#This Row],[Sorted Arr Id]])-1&gt;$BY$11,"",INDEX(tblData[Sorted Arr Id],SMALL(IF(LEN(TRIM(tblData[Surname]))*(tblData[Arr DateTime]&gt;0),ROW(tblData[Sorted Arr Id])-ROW(tblData[[#Headers],[Sorted Arr Id]])),ROWS(tblData[[#Headers],[Sorted Arr Id]]:tblData[[#This Row],[Sorted Arr Id]])-1)))</f>
        <v/>
      </c>
      <c r="CA68" s="6" t="str">
        <f>IF(ROWS(tblArrivalSorted[[#Headers],[Id]]:tblArrivalSorted[[#This Row],[Id]])-1&gt;$CA$11,"",SMALL(tblArrival[Id],ROWS(tblArrivalSorted[[#Headers],[Id]]:tblArrivalSorted[[#This Row],[Id]])-1))</f>
        <v/>
      </c>
      <c r="CC68" s="6" t="str">
        <f t="array" ref="CC68">IF(ROWS(tblData[[#Headers],[Sorted Dep Id]]:tblData[[#This Row],[Sorted Dep Id]])-1&gt;$CC$11,"",INDEX(tblData[Sorted Dep Id],SMALL(IF(LEN(TRIM(tblData[Surname]))*(tblData[Dep DateTime]&gt;0),ROW(tblData[Sorted Dep Id])-ROW(tblData[[#Headers],[Sorted Dep Id]])),ROWS(tblData[[#Headers],[Sorted Dep Id]]:tblData[[#This Row],[Sorted Dep Id]])-1)))</f>
        <v/>
      </c>
      <c r="CE68" s="6" t="str">
        <f>IF(ROWS(tblDepartureSorted[[#Headers],[Id]]:tblDepartureSorted[[#This Row],[Id]])-1&gt;$CE$11,"",SMALL(tblDeparture[Id],ROWS(tblDepartureSorted[[#Headers],[Id]]:tblDepartureSorted[[#This Row],[Id]])-1))</f>
        <v/>
      </c>
      <c r="CG68" s="6" t="str">
        <f t="array" ref="CG68">IF(ROWS(tblData[[#Headers],[Id]]:tblData[[#This Row],[Id]])-1&gt;$CG$11,"",INDEX(tblData[Id],SMALL(IF(LEN(TRIM(tblData[Surname])),ROW(tblData[Id])-ROW(tblData[[#Headers],[Id]])),ROWS(tblData[[#Headers],[Id]]:tblData[[#This Row],[Id]])-1)))</f>
        <v/>
      </c>
    </row>
    <row r="69" spans="1:85" s="6" customFormat="1">
      <c r="A69" s="14">
        <f>IF(ISNUMBER(tblData[[#This Row],[SubType2]]),tblData[[#This Row],[SubType2]]*10000+tblData[[#This Row],[No]],1000000+tblData[[#This Row],[No]])</f>
        <v>1000056</v>
      </c>
      <c r="B69" s="14">
        <f>IFERROR(tblData[[#This Row],[Surname Rang]]*1000+tblData[[#This Row],[Given Name Rang]]+tblData[[#This Row],[No]]/1000,"")</f>
        <v>5.6000000000000001E-2</v>
      </c>
      <c r="C69" s="14">
        <f>IFERROR(tblData[[#This Row],[Arr DateTime Rang]]+tblData[[#This Row],[No]]/1000,"")</f>
        <v>110.056</v>
      </c>
      <c r="D69" s="14">
        <f>IFERROR(tblData[[#This Row],[Dep DateTime Rang]]+tblData[[#This Row],[No]]/1000,"")</f>
        <v>110.056</v>
      </c>
      <c r="E69" s="362">
        <f t="shared" si="1"/>
        <v>56</v>
      </c>
      <c r="F69" s="370"/>
      <c r="G69" s="331"/>
      <c r="H69" s="328"/>
      <c r="I69" s="329"/>
      <c r="J69" s="330"/>
      <c r="K69" s="369"/>
      <c r="L69" s="375"/>
      <c r="M69" s="331"/>
      <c r="N69" s="331"/>
      <c r="O69" s="331"/>
      <c r="P69" s="329"/>
      <c r="Q69" s="376"/>
      <c r="R69" s="383"/>
      <c r="S69" s="332"/>
      <c r="T69" s="331"/>
      <c r="U69" s="333"/>
      <c r="V69" s="333"/>
      <c r="W69" s="384"/>
      <c r="X69" s="383"/>
      <c r="Y69" s="332"/>
      <c r="Z69" s="331"/>
      <c r="AA69" s="331"/>
      <c r="AB69" s="333"/>
      <c r="AC69" s="384"/>
      <c r="AD69" s="375"/>
      <c r="AE69" s="369"/>
      <c r="AF69" s="397"/>
      <c r="AG69" s="328"/>
      <c r="AH69" s="328"/>
      <c r="AI69" s="328"/>
      <c r="AJ69" s="328"/>
      <c r="AK69" s="328"/>
      <c r="AL69" s="328"/>
      <c r="AM69" s="328"/>
      <c r="AN69" s="398"/>
      <c r="AO69" s="402" t="str">
        <f>IF(ISBLANK(tblData[[#This Row],[Surname]]),"",IF(tblData[[#This Row],[Bill Accred Fee]]=0,"NO","YES"))</f>
        <v/>
      </c>
      <c r="AP69" s="406">
        <f>IF(AND(NOT(ISBLANK(tblData[[#This Row],[Surname]])),COUNTA(tblData[[#This Row],[Day 1]:[Day 9]])=0),1,0)</f>
        <v>0</v>
      </c>
      <c r="AQ69" s="406">
        <f>IF(AND(NOT(ISBLANK(tblData[[#This Row],[Surname]])),tblData[[#This Row],[Position]]="Athlete"),1,0)</f>
        <v>0</v>
      </c>
      <c r="AR69" s="433">
        <f>EntryFee*tblData[[#This Row],[Entry Fee Billable]]</f>
        <v>0</v>
      </c>
      <c r="AS69" s="410" t="e">
        <f>IF(ISBLANK(SelectedCategory),"No Cat!",IF(ISBLANK($F69),0,IFERROR(VLOOKUP(AS$12&amp;", "&amp;tblData[[#This Row],[Day 1]],tblAccommodationCosts[],5,FALSE),0)+IFERROR(VLOOKUP(AS$12&amp;", "&amp;tblData[[#This Row],[Day 2]],tblAccommodationCosts[],5,FALSE),0)+IFERROR(VLOOKUP(AS$12&amp;", "&amp;tblData[[#This Row],[Day 3]],tblAccommodationCosts[],5,FALSE),0)+IFERROR(VLOOKUP(AS$12&amp;", "&amp;tblData[[#This Row],[Day 4]],tblAccommodationCosts[],5,FALSE),0)+IFERROR(VLOOKUP(AS$12&amp;", "&amp;tblData[[#This Row],[Day 5]],tblAccommodationCosts[],5,FALSE),0)+IFERROR(VLOOKUP(AS$12&amp;", "&amp;tblData[[#This Row],[Day 6]],tblAccommodationCosts[],5,FALSE),0)+IFERROR(VLOOKUP(AS$12&amp;", "&amp;tblData[[#This Row],[Day 7]],tblAccommodationCosts[],5,FALSE),0)+IFERROR(VLOOKUP(AS$12&amp;", "&amp;tblData[[#This Row],[Day 8]],tblAccommodationCosts[],5,FALSE),0)+IFERROR(VLOOKUP(AS$12&amp;", "&amp;tblData[[#This Row],[Day 9]],tblAccommodationCosts[],5,FALSE),0)+AccreditationFee*tblData[[#This Row],[Bill Accred Fee]]))+tblData[[#This Row],[Entry Fee]]</f>
        <v>#VALUE!</v>
      </c>
      <c r="AT69" s="324" t="str">
        <f>IFERROR(VLOOKUP(tblData[[#This Row],[Weight Category, Function, and Gender]],tblWeightOrFunction[],3,0),"")</f>
        <v/>
      </c>
      <c r="AU69" s="84" t="str">
        <f>IFERROR(VLOOKUP(tblData[[#This Row],[Weight Category, Function, and Gender]],tblWeightOrFunction[],4,0),"")</f>
        <v/>
      </c>
      <c r="AV69" s="85" t="str">
        <f>IFERROR(VLOOKUP(tblData[[#This Row],[Weight Category, Function, and Gender]],tblWeightOrFunction[],7,0),"")</f>
        <v/>
      </c>
      <c r="AW69" s="84" t="str">
        <f>IFERROR(VLOOKUP(tblData[[#This Row],[Weight Category, Function, and Gender]],tblWeightOrFunction[],6,0),"")</f>
        <v/>
      </c>
      <c r="AX69" s="84" t="str">
        <f>IFERROR(VLOOKUP(tblData[[#This Row],[Weight Category, Function, and Gender]],tblWeightOrFunction[],2,0),"")</f>
        <v/>
      </c>
      <c r="AY69" s="75">
        <f>tblData[[#This Row],[Arr Date]]+tblData[[#This Row],[Arr Time]]</f>
        <v>0</v>
      </c>
      <c r="AZ69" s="75">
        <f>tblData[[#This Row],[Dep Date]]+tblData[[#This Row],[Dep Time]]</f>
        <v>0</v>
      </c>
      <c r="BA69" s="72">
        <f>COUNTIF(tblData[Surname],"&lt;="&amp;tblData[Surname])</f>
        <v>0</v>
      </c>
      <c r="BB69" s="72">
        <f>COUNTIF(tblData[Given name],"&lt;="&amp;tblData[Given name])</f>
        <v>0</v>
      </c>
      <c r="BC69" s="72">
        <f>COUNTIF(tblData[Arr DateTime],"&lt;="&amp;tblData[Arr DateTime])</f>
        <v>110</v>
      </c>
      <c r="BD69" s="72">
        <f>COUNTIF(tblData[Dep DateTime],"&lt;="&amp;tblData[Dep DateTime])</f>
        <v>110</v>
      </c>
      <c r="BE69" s="72">
        <f>COUNTIF(tblData[ShuttleAtDeparture],"&lt;="&amp;tblData[ShuttleAtDeparture])</f>
        <v>0</v>
      </c>
      <c r="BI69" s="6" t="str">
        <f t="array" ref="BI69">IF(ROWS(tblData[[#Headers],[Id]]:tblData[[#This Row],[Id]])-1&gt;$BI$11,"",INDEX(tblData[Id],SMALL(IF(LEN(TRIM(tblData[Surname]))*((tblData[Type]=$BI$9)+(tblData[Type]=$BI$10)),ROW(tblData[Id])-ROW(tblData[[#Headers],[Id]])),ROWS(tblData[[#Headers],[Id]]:tblData[[#This Row],[Id]])-1)))</f>
        <v/>
      </c>
      <c r="BK69" s="6" t="str">
        <f>IF(ROWS(tblCoachesAndOfficialsSorted[[#Headers],[Id]]:tblCoachesAndOfficialsSorted[[#This Row],[Id]])-1&gt;$BK$11,"",SMALL(tblCoachesAndOfficials[Id],ROWS(tblCoachesAndOfficialsSorted[[#Headers],[Id]]:tblCoachesAndOfficialsSorted[[#This Row],[Id]])-1))</f>
        <v/>
      </c>
      <c r="BM69" s="6" t="str">
        <f t="array" ref="BM69">IF(ROWS(tblData[[#Headers],[Id]]:tblData[[#This Row],[Id]])-1&gt;$BM$11,"",INDEX(tblData[Id],SMALL(IF(LEN(TRIM(tblData[Surname]))*(tblData[Type]=$BM$9),ROW(tblData[Id])-ROW(tblData[[#Headers],[Id]])),ROWS(tblData[[#Headers],[Id]]:tblData[[#This Row],[Id]])-1)))</f>
        <v/>
      </c>
      <c r="BO69" s="6" t="str">
        <f>IF(ROWS(tblWomenSorted[[#Headers],[Id]]:tblWomenSorted[[#This Row],[Id]])-1&gt;$BO$11,"",SMALL(tblWomen[Id],ROWS(tblWomenSorted[[#Headers],[Id]]:tblWomenSorted[[#This Row],[Id]])-1))</f>
        <v/>
      </c>
      <c r="BP69" s="17"/>
      <c r="BQ69" s="6" t="str">
        <f t="array" ref="BQ69">IF(ROWS(tblData[[#Headers],[Id]]:tblData[[#This Row],[Id]])-1&gt;$BQ$11,"",INDEX(tblData[Id],SMALL(IF(LEN(TRIM(tblData[Surname]))*(tblData[Type]=$BQ$9),ROW(tblData[Id])-ROW(tblData[[#Headers],[Id]])),ROWS(tblData[[#Headers],[Id]]:tblData[[#This Row],[Id]])-1)))</f>
        <v/>
      </c>
      <c r="BS69" s="6" t="str">
        <f>IF(ROWS(tblMenSorted[[#Headers],[Id]]:tblMenSorted[[#This Row],[Id]])-1&gt;$BS$11,"",SMALL(tblMen[Id],ROWS(tblMenSorted[[#Headers],[Id]]:tblMenSorted[[#This Row],[Id]])-1))</f>
        <v/>
      </c>
      <c r="BU69" s="6" t="str">
        <f t="array" ref="BU69">IF(ROWS(tblData[[#Headers],[Sorted Name Id]]:tblData[[#This Row],[Sorted Name Id]])-1&gt;$BU$11,"",INDEX(tblData[Sorted Name Id],SMALL(IF(LEN(TRIM(tblData[Surname]))*(tblData[Visa required]="YES"),ROW(tblData[Sorted Name Id])-ROW(tblData[[#Headers],[Sorted Name Id]])),ROWS(tblData[[#Headers],[Sorted Name Id]]:tblData[[#This Row],[Sorted Name Id]])-1)))</f>
        <v/>
      </c>
      <c r="BW69" s="6" t="str">
        <f>IF(ROWS(tblVisasSorted[[#Headers],[Id]]:tblVisasSorted[[#This Row],[Id]])-1&gt;$BW$11,"",SMALL(tblVisas[Id],ROWS(tblVisasSorted[[#Headers],[Id]]:tblVisasSorted[[#This Row],[Id]])-1))</f>
        <v/>
      </c>
      <c r="BY69" s="6" t="str">
        <f t="array" ref="BY69">IF(ROWS(tblData[[#Headers],[Sorted Arr Id]]:tblData[[#This Row],[Sorted Arr Id]])-1&gt;$BY$11,"",INDEX(tblData[Sorted Arr Id],SMALL(IF(LEN(TRIM(tblData[Surname]))*(tblData[Arr DateTime]&gt;0),ROW(tblData[Sorted Arr Id])-ROW(tblData[[#Headers],[Sorted Arr Id]])),ROWS(tblData[[#Headers],[Sorted Arr Id]]:tblData[[#This Row],[Sorted Arr Id]])-1)))</f>
        <v/>
      </c>
      <c r="CA69" s="6" t="str">
        <f>IF(ROWS(tblArrivalSorted[[#Headers],[Id]]:tblArrivalSorted[[#This Row],[Id]])-1&gt;$CA$11,"",SMALL(tblArrival[Id],ROWS(tblArrivalSorted[[#Headers],[Id]]:tblArrivalSorted[[#This Row],[Id]])-1))</f>
        <v/>
      </c>
      <c r="CC69" s="6" t="str">
        <f t="array" ref="CC69">IF(ROWS(tblData[[#Headers],[Sorted Dep Id]]:tblData[[#This Row],[Sorted Dep Id]])-1&gt;$CC$11,"",INDEX(tblData[Sorted Dep Id],SMALL(IF(LEN(TRIM(tblData[Surname]))*(tblData[Dep DateTime]&gt;0),ROW(tblData[Sorted Dep Id])-ROW(tblData[[#Headers],[Sorted Dep Id]])),ROWS(tblData[[#Headers],[Sorted Dep Id]]:tblData[[#This Row],[Sorted Dep Id]])-1)))</f>
        <v/>
      </c>
      <c r="CE69" s="6" t="str">
        <f>IF(ROWS(tblDepartureSorted[[#Headers],[Id]]:tblDepartureSorted[[#This Row],[Id]])-1&gt;$CE$11,"",SMALL(tblDeparture[Id],ROWS(tblDepartureSorted[[#Headers],[Id]]:tblDepartureSorted[[#This Row],[Id]])-1))</f>
        <v/>
      </c>
      <c r="CG69" s="6" t="str">
        <f t="array" ref="CG69">IF(ROWS(tblData[[#Headers],[Id]]:tblData[[#This Row],[Id]])-1&gt;$CG$11,"",INDEX(tblData[Id],SMALL(IF(LEN(TRIM(tblData[Surname])),ROW(tblData[Id])-ROW(tblData[[#Headers],[Id]])),ROWS(tblData[[#Headers],[Id]]:tblData[[#This Row],[Id]])-1)))</f>
        <v/>
      </c>
    </row>
    <row r="70" spans="1:85" s="6" customFormat="1">
      <c r="A70" s="14">
        <f>IF(ISNUMBER(tblData[[#This Row],[SubType2]]),tblData[[#This Row],[SubType2]]*10000+tblData[[#This Row],[No]],1000000+tblData[[#This Row],[No]])</f>
        <v>1000057</v>
      </c>
      <c r="B70" s="14">
        <f>IFERROR(tblData[[#This Row],[Surname Rang]]*1000+tblData[[#This Row],[Given Name Rang]]+tblData[[#This Row],[No]]/1000,"")</f>
        <v>5.7000000000000002E-2</v>
      </c>
      <c r="C70" s="14">
        <f>IFERROR(tblData[[#This Row],[Arr DateTime Rang]]+tblData[[#This Row],[No]]/1000,"")</f>
        <v>110.057</v>
      </c>
      <c r="D70" s="14">
        <f>IFERROR(tblData[[#This Row],[Dep DateTime Rang]]+tblData[[#This Row],[No]]/1000,"")</f>
        <v>110.057</v>
      </c>
      <c r="E70" s="362">
        <f t="shared" si="1"/>
        <v>57</v>
      </c>
      <c r="F70" s="370"/>
      <c r="G70" s="331"/>
      <c r="H70" s="328"/>
      <c r="I70" s="329"/>
      <c r="J70" s="330"/>
      <c r="K70" s="369"/>
      <c r="L70" s="375"/>
      <c r="M70" s="331"/>
      <c r="N70" s="331"/>
      <c r="O70" s="331"/>
      <c r="P70" s="329"/>
      <c r="Q70" s="376"/>
      <c r="R70" s="383"/>
      <c r="S70" s="332"/>
      <c r="T70" s="331"/>
      <c r="U70" s="333"/>
      <c r="V70" s="333"/>
      <c r="W70" s="384"/>
      <c r="X70" s="383"/>
      <c r="Y70" s="332"/>
      <c r="Z70" s="331"/>
      <c r="AA70" s="331"/>
      <c r="AB70" s="333"/>
      <c r="AC70" s="384"/>
      <c r="AD70" s="375"/>
      <c r="AE70" s="369"/>
      <c r="AF70" s="397"/>
      <c r="AG70" s="328"/>
      <c r="AH70" s="328"/>
      <c r="AI70" s="328"/>
      <c r="AJ70" s="328"/>
      <c r="AK70" s="328"/>
      <c r="AL70" s="328"/>
      <c r="AM70" s="328"/>
      <c r="AN70" s="398"/>
      <c r="AO70" s="402" t="str">
        <f>IF(ISBLANK(tblData[[#This Row],[Surname]]),"",IF(tblData[[#This Row],[Bill Accred Fee]]=0,"NO","YES"))</f>
        <v/>
      </c>
      <c r="AP70" s="406">
        <f>IF(AND(NOT(ISBLANK(tblData[[#This Row],[Surname]])),COUNTA(tblData[[#This Row],[Day 1]:[Day 9]])=0),1,0)</f>
        <v>0</v>
      </c>
      <c r="AQ70" s="406">
        <f>IF(AND(NOT(ISBLANK(tblData[[#This Row],[Surname]])),tblData[[#This Row],[Position]]="Athlete"),1,0)</f>
        <v>0</v>
      </c>
      <c r="AR70" s="433">
        <f>EntryFee*tblData[[#This Row],[Entry Fee Billable]]</f>
        <v>0</v>
      </c>
      <c r="AS70" s="410" t="e">
        <f>IF(ISBLANK(SelectedCategory),"No Cat!",IF(ISBLANK($F70),0,IFERROR(VLOOKUP(AS$12&amp;", "&amp;tblData[[#This Row],[Day 1]],tblAccommodationCosts[],5,FALSE),0)+IFERROR(VLOOKUP(AS$12&amp;", "&amp;tblData[[#This Row],[Day 2]],tblAccommodationCosts[],5,FALSE),0)+IFERROR(VLOOKUP(AS$12&amp;", "&amp;tblData[[#This Row],[Day 3]],tblAccommodationCosts[],5,FALSE),0)+IFERROR(VLOOKUP(AS$12&amp;", "&amp;tblData[[#This Row],[Day 4]],tblAccommodationCosts[],5,FALSE),0)+IFERROR(VLOOKUP(AS$12&amp;", "&amp;tblData[[#This Row],[Day 5]],tblAccommodationCosts[],5,FALSE),0)+IFERROR(VLOOKUP(AS$12&amp;", "&amp;tblData[[#This Row],[Day 6]],tblAccommodationCosts[],5,FALSE),0)+IFERROR(VLOOKUP(AS$12&amp;", "&amp;tblData[[#This Row],[Day 7]],tblAccommodationCosts[],5,FALSE),0)+IFERROR(VLOOKUP(AS$12&amp;", "&amp;tblData[[#This Row],[Day 8]],tblAccommodationCosts[],5,FALSE),0)+IFERROR(VLOOKUP(AS$12&amp;", "&amp;tblData[[#This Row],[Day 9]],tblAccommodationCosts[],5,FALSE),0)+AccreditationFee*tblData[[#This Row],[Bill Accred Fee]]))+tblData[[#This Row],[Entry Fee]]</f>
        <v>#VALUE!</v>
      </c>
      <c r="AT70" s="324" t="str">
        <f>IFERROR(VLOOKUP(tblData[[#This Row],[Weight Category, Function, and Gender]],tblWeightOrFunction[],3,0),"")</f>
        <v/>
      </c>
      <c r="AU70" s="84" t="str">
        <f>IFERROR(VLOOKUP(tblData[[#This Row],[Weight Category, Function, and Gender]],tblWeightOrFunction[],4,0),"")</f>
        <v/>
      </c>
      <c r="AV70" s="85" t="str">
        <f>IFERROR(VLOOKUP(tblData[[#This Row],[Weight Category, Function, and Gender]],tblWeightOrFunction[],7,0),"")</f>
        <v/>
      </c>
      <c r="AW70" s="84" t="str">
        <f>IFERROR(VLOOKUP(tblData[[#This Row],[Weight Category, Function, and Gender]],tblWeightOrFunction[],6,0),"")</f>
        <v/>
      </c>
      <c r="AX70" s="84" t="str">
        <f>IFERROR(VLOOKUP(tblData[[#This Row],[Weight Category, Function, and Gender]],tblWeightOrFunction[],2,0),"")</f>
        <v/>
      </c>
      <c r="AY70" s="75">
        <f>tblData[[#This Row],[Arr Date]]+tblData[[#This Row],[Arr Time]]</f>
        <v>0</v>
      </c>
      <c r="AZ70" s="75">
        <f>tblData[[#This Row],[Dep Date]]+tblData[[#This Row],[Dep Time]]</f>
        <v>0</v>
      </c>
      <c r="BA70" s="72">
        <f>COUNTIF(tblData[Surname],"&lt;="&amp;tblData[Surname])</f>
        <v>0</v>
      </c>
      <c r="BB70" s="72">
        <f>COUNTIF(tblData[Given name],"&lt;="&amp;tblData[Given name])</f>
        <v>0</v>
      </c>
      <c r="BC70" s="72">
        <f>COUNTIF(tblData[Arr DateTime],"&lt;="&amp;tblData[Arr DateTime])</f>
        <v>110</v>
      </c>
      <c r="BD70" s="72">
        <f>COUNTIF(tblData[Dep DateTime],"&lt;="&amp;tblData[Dep DateTime])</f>
        <v>110</v>
      </c>
      <c r="BE70" s="72">
        <f>COUNTIF(tblData[ShuttleAtDeparture],"&lt;="&amp;tblData[ShuttleAtDeparture])</f>
        <v>0</v>
      </c>
      <c r="BI70" s="6" t="str">
        <f t="array" ref="BI70">IF(ROWS(tblData[[#Headers],[Id]]:tblData[[#This Row],[Id]])-1&gt;$BI$11,"",INDEX(tblData[Id],SMALL(IF(LEN(TRIM(tblData[Surname]))*((tblData[Type]=$BI$9)+(tblData[Type]=$BI$10)),ROW(tblData[Id])-ROW(tblData[[#Headers],[Id]])),ROWS(tblData[[#Headers],[Id]]:tblData[[#This Row],[Id]])-1)))</f>
        <v/>
      </c>
      <c r="BK70" s="6" t="str">
        <f>IF(ROWS(tblCoachesAndOfficialsSorted[[#Headers],[Id]]:tblCoachesAndOfficialsSorted[[#This Row],[Id]])-1&gt;$BK$11,"",SMALL(tblCoachesAndOfficials[Id],ROWS(tblCoachesAndOfficialsSorted[[#Headers],[Id]]:tblCoachesAndOfficialsSorted[[#This Row],[Id]])-1))</f>
        <v/>
      </c>
      <c r="BM70" s="6" t="str">
        <f t="array" ref="BM70">IF(ROWS(tblData[[#Headers],[Id]]:tblData[[#This Row],[Id]])-1&gt;$BM$11,"",INDEX(tblData[Id],SMALL(IF(LEN(TRIM(tblData[Surname]))*(tblData[Type]=$BM$9),ROW(tblData[Id])-ROW(tblData[[#Headers],[Id]])),ROWS(tblData[[#Headers],[Id]]:tblData[[#This Row],[Id]])-1)))</f>
        <v/>
      </c>
      <c r="BO70" s="6" t="str">
        <f>IF(ROWS(tblWomenSorted[[#Headers],[Id]]:tblWomenSorted[[#This Row],[Id]])-1&gt;$BO$11,"",SMALL(tblWomen[Id],ROWS(tblWomenSorted[[#Headers],[Id]]:tblWomenSorted[[#This Row],[Id]])-1))</f>
        <v/>
      </c>
      <c r="BP70" s="17"/>
      <c r="BQ70" s="6" t="str">
        <f t="array" ref="BQ70">IF(ROWS(tblData[[#Headers],[Id]]:tblData[[#This Row],[Id]])-1&gt;$BQ$11,"",INDEX(tblData[Id],SMALL(IF(LEN(TRIM(tblData[Surname]))*(tblData[Type]=$BQ$9),ROW(tblData[Id])-ROW(tblData[[#Headers],[Id]])),ROWS(tblData[[#Headers],[Id]]:tblData[[#This Row],[Id]])-1)))</f>
        <v/>
      </c>
      <c r="BS70" s="6" t="str">
        <f>IF(ROWS(tblMenSorted[[#Headers],[Id]]:tblMenSorted[[#This Row],[Id]])-1&gt;$BS$11,"",SMALL(tblMen[Id],ROWS(tblMenSorted[[#Headers],[Id]]:tblMenSorted[[#This Row],[Id]])-1))</f>
        <v/>
      </c>
      <c r="BU70" s="6" t="str">
        <f t="array" ref="BU70">IF(ROWS(tblData[[#Headers],[Sorted Name Id]]:tblData[[#This Row],[Sorted Name Id]])-1&gt;$BU$11,"",INDEX(tblData[Sorted Name Id],SMALL(IF(LEN(TRIM(tblData[Surname]))*(tblData[Visa required]="YES"),ROW(tblData[Sorted Name Id])-ROW(tblData[[#Headers],[Sorted Name Id]])),ROWS(tblData[[#Headers],[Sorted Name Id]]:tblData[[#This Row],[Sorted Name Id]])-1)))</f>
        <v/>
      </c>
      <c r="BW70" s="6" t="str">
        <f>IF(ROWS(tblVisasSorted[[#Headers],[Id]]:tblVisasSorted[[#This Row],[Id]])-1&gt;$BW$11,"",SMALL(tblVisas[Id],ROWS(tblVisasSorted[[#Headers],[Id]]:tblVisasSorted[[#This Row],[Id]])-1))</f>
        <v/>
      </c>
      <c r="BY70" s="6" t="str">
        <f t="array" ref="BY70">IF(ROWS(tblData[[#Headers],[Sorted Arr Id]]:tblData[[#This Row],[Sorted Arr Id]])-1&gt;$BY$11,"",INDEX(tblData[Sorted Arr Id],SMALL(IF(LEN(TRIM(tblData[Surname]))*(tblData[Arr DateTime]&gt;0),ROW(tblData[Sorted Arr Id])-ROW(tblData[[#Headers],[Sorted Arr Id]])),ROWS(tblData[[#Headers],[Sorted Arr Id]]:tblData[[#This Row],[Sorted Arr Id]])-1)))</f>
        <v/>
      </c>
      <c r="CA70" s="6" t="str">
        <f>IF(ROWS(tblArrivalSorted[[#Headers],[Id]]:tblArrivalSorted[[#This Row],[Id]])-1&gt;$CA$11,"",SMALL(tblArrival[Id],ROWS(tblArrivalSorted[[#Headers],[Id]]:tblArrivalSorted[[#This Row],[Id]])-1))</f>
        <v/>
      </c>
      <c r="CC70" s="6" t="str">
        <f t="array" ref="CC70">IF(ROWS(tblData[[#Headers],[Sorted Dep Id]]:tblData[[#This Row],[Sorted Dep Id]])-1&gt;$CC$11,"",INDEX(tblData[Sorted Dep Id],SMALL(IF(LEN(TRIM(tblData[Surname]))*(tblData[Dep DateTime]&gt;0),ROW(tblData[Sorted Dep Id])-ROW(tblData[[#Headers],[Sorted Dep Id]])),ROWS(tblData[[#Headers],[Sorted Dep Id]]:tblData[[#This Row],[Sorted Dep Id]])-1)))</f>
        <v/>
      </c>
      <c r="CE70" s="6" t="str">
        <f>IF(ROWS(tblDepartureSorted[[#Headers],[Id]]:tblDepartureSorted[[#This Row],[Id]])-1&gt;$CE$11,"",SMALL(tblDeparture[Id],ROWS(tblDepartureSorted[[#Headers],[Id]]:tblDepartureSorted[[#This Row],[Id]])-1))</f>
        <v/>
      </c>
      <c r="CG70" s="6" t="str">
        <f t="array" ref="CG70">IF(ROWS(tblData[[#Headers],[Id]]:tblData[[#This Row],[Id]])-1&gt;$CG$11,"",INDEX(tblData[Id],SMALL(IF(LEN(TRIM(tblData[Surname])),ROW(tblData[Id])-ROW(tblData[[#Headers],[Id]])),ROWS(tblData[[#Headers],[Id]]:tblData[[#This Row],[Id]])-1)))</f>
        <v/>
      </c>
    </row>
    <row r="71" spans="1:85" s="6" customFormat="1">
      <c r="A71" s="14">
        <f>IF(ISNUMBER(tblData[[#This Row],[SubType2]]),tblData[[#This Row],[SubType2]]*10000+tblData[[#This Row],[No]],1000000+tblData[[#This Row],[No]])</f>
        <v>1000058</v>
      </c>
      <c r="B71" s="14">
        <f>IFERROR(tblData[[#This Row],[Surname Rang]]*1000+tblData[[#This Row],[Given Name Rang]]+tblData[[#This Row],[No]]/1000,"")</f>
        <v>5.8000000000000003E-2</v>
      </c>
      <c r="C71" s="14">
        <f>IFERROR(tblData[[#This Row],[Arr DateTime Rang]]+tblData[[#This Row],[No]]/1000,"")</f>
        <v>110.05800000000001</v>
      </c>
      <c r="D71" s="14">
        <f>IFERROR(tblData[[#This Row],[Dep DateTime Rang]]+tblData[[#This Row],[No]]/1000,"")</f>
        <v>110.05800000000001</v>
      </c>
      <c r="E71" s="362">
        <f t="shared" si="1"/>
        <v>58</v>
      </c>
      <c r="F71" s="370"/>
      <c r="G71" s="331"/>
      <c r="H71" s="328"/>
      <c r="I71" s="329"/>
      <c r="J71" s="330"/>
      <c r="K71" s="369"/>
      <c r="L71" s="375"/>
      <c r="M71" s="331"/>
      <c r="N71" s="331"/>
      <c r="O71" s="331"/>
      <c r="P71" s="329"/>
      <c r="Q71" s="376"/>
      <c r="R71" s="383"/>
      <c r="S71" s="332"/>
      <c r="T71" s="331"/>
      <c r="U71" s="333"/>
      <c r="V71" s="333"/>
      <c r="W71" s="384"/>
      <c r="X71" s="383"/>
      <c r="Y71" s="332"/>
      <c r="Z71" s="331"/>
      <c r="AA71" s="331"/>
      <c r="AB71" s="333"/>
      <c r="AC71" s="384"/>
      <c r="AD71" s="375"/>
      <c r="AE71" s="369"/>
      <c r="AF71" s="397"/>
      <c r="AG71" s="328"/>
      <c r="AH71" s="328"/>
      <c r="AI71" s="328"/>
      <c r="AJ71" s="328"/>
      <c r="AK71" s="328"/>
      <c r="AL71" s="328"/>
      <c r="AM71" s="328"/>
      <c r="AN71" s="398"/>
      <c r="AO71" s="402" t="str">
        <f>IF(ISBLANK(tblData[[#This Row],[Surname]]),"",IF(tblData[[#This Row],[Bill Accred Fee]]=0,"NO","YES"))</f>
        <v/>
      </c>
      <c r="AP71" s="406">
        <f>IF(AND(NOT(ISBLANK(tblData[[#This Row],[Surname]])),COUNTA(tblData[[#This Row],[Day 1]:[Day 9]])=0),1,0)</f>
        <v>0</v>
      </c>
      <c r="AQ71" s="406">
        <f>IF(AND(NOT(ISBLANK(tblData[[#This Row],[Surname]])),tblData[[#This Row],[Position]]="Athlete"),1,0)</f>
        <v>0</v>
      </c>
      <c r="AR71" s="433">
        <f>EntryFee*tblData[[#This Row],[Entry Fee Billable]]</f>
        <v>0</v>
      </c>
      <c r="AS71" s="410" t="e">
        <f>IF(ISBLANK(SelectedCategory),"No Cat!",IF(ISBLANK($F71),0,IFERROR(VLOOKUP(AS$12&amp;", "&amp;tblData[[#This Row],[Day 1]],tblAccommodationCosts[],5,FALSE),0)+IFERROR(VLOOKUP(AS$12&amp;", "&amp;tblData[[#This Row],[Day 2]],tblAccommodationCosts[],5,FALSE),0)+IFERROR(VLOOKUP(AS$12&amp;", "&amp;tblData[[#This Row],[Day 3]],tblAccommodationCosts[],5,FALSE),0)+IFERROR(VLOOKUP(AS$12&amp;", "&amp;tblData[[#This Row],[Day 4]],tblAccommodationCosts[],5,FALSE),0)+IFERROR(VLOOKUP(AS$12&amp;", "&amp;tblData[[#This Row],[Day 5]],tblAccommodationCosts[],5,FALSE),0)+IFERROR(VLOOKUP(AS$12&amp;", "&amp;tblData[[#This Row],[Day 6]],tblAccommodationCosts[],5,FALSE),0)+IFERROR(VLOOKUP(AS$12&amp;", "&amp;tblData[[#This Row],[Day 7]],tblAccommodationCosts[],5,FALSE),0)+IFERROR(VLOOKUP(AS$12&amp;", "&amp;tblData[[#This Row],[Day 8]],tblAccommodationCosts[],5,FALSE),0)+IFERROR(VLOOKUP(AS$12&amp;", "&amp;tblData[[#This Row],[Day 9]],tblAccommodationCosts[],5,FALSE),0)+AccreditationFee*tblData[[#This Row],[Bill Accred Fee]]))+tblData[[#This Row],[Entry Fee]]</f>
        <v>#VALUE!</v>
      </c>
      <c r="AT71" s="324" t="str">
        <f>IFERROR(VLOOKUP(tblData[[#This Row],[Weight Category, Function, and Gender]],tblWeightOrFunction[],3,0),"")</f>
        <v/>
      </c>
      <c r="AU71" s="84" t="str">
        <f>IFERROR(VLOOKUP(tblData[[#This Row],[Weight Category, Function, and Gender]],tblWeightOrFunction[],4,0),"")</f>
        <v/>
      </c>
      <c r="AV71" s="85" t="str">
        <f>IFERROR(VLOOKUP(tblData[[#This Row],[Weight Category, Function, and Gender]],tblWeightOrFunction[],7,0),"")</f>
        <v/>
      </c>
      <c r="AW71" s="84" t="str">
        <f>IFERROR(VLOOKUP(tblData[[#This Row],[Weight Category, Function, and Gender]],tblWeightOrFunction[],6,0),"")</f>
        <v/>
      </c>
      <c r="AX71" s="84" t="str">
        <f>IFERROR(VLOOKUP(tblData[[#This Row],[Weight Category, Function, and Gender]],tblWeightOrFunction[],2,0),"")</f>
        <v/>
      </c>
      <c r="AY71" s="75">
        <f>tblData[[#This Row],[Arr Date]]+tblData[[#This Row],[Arr Time]]</f>
        <v>0</v>
      </c>
      <c r="AZ71" s="75">
        <f>tblData[[#This Row],[Dep Date]]+tblData[[#This Row],[Dep Time]]</f>
        <v>0</v>
      </c>
      <c r="BA71" s="72">
        <f>COUNTIF(tblData[Surname],"&lt;="&amp;tblData[Surname])</f>
        <v>0</v>
      </c>
      <c r="BB71" s="72">
        <f>COUNTIF(tblData[Given name],"&lt;="&amp;tblData[Given name])</f>
        <v>0</v>
      </c>
      <c r="BC71" s="72">
        <f>COUNTIF(tblData[Arr DateTime],"&lt;="&amp;tblData[Arr DateTime])</f>
        <v>110</v>
      </c>
      <c r="BD71" s="72">
        <f>COUNTIF(tblData[Dep DateTime],"&lt;="&amp;tblData[Dep DateTime])</f>
        <v>110</v>
      </c>
      <c r="BE71" s="72">
        <f>COUNTIF(tblData[ShuttleAtDeparture],"&lt;="&amp;tblData[ShuttleAtDeparture])</f>
        <v>0</v>
      </c>
      <c r="BI71" s="6" t="str">
        <f t="array" ref="BI71">IF(ROWS(tblData[[#Headers],[Id]]:tblData[[#This Row],[Id]])-1&gt;$BI$11,"",INDEX(tblData[Id],SMALL(IF(LEN(TRIM(tblData[Surname]))*((tblData[Type]=$BI$9)+(tblData[Type]=$BI$10)),ROW(tblData[Id])-ROW(tblData[[#Headers],[Id]])),ROWS(tblData[[#Headers],[Id]]:tblData[[#This Row],[Id]])-1)))</f>
        <v/>
      </c>
      <c r="BK71" s="6" t="str">
        <f>IF(ROWS(tblCoachesAndOfficialsSorted[[#Headers],[Id]]:tblCoachesAndOfficialsSorted[[#This Row],[Id]])-1&gt;$BK$11,"",SMALL(tblCoachesAndOfficials[Id],ROWS(tblCoachesAndOfficialsSorted[[#Headers],[Id]]:tblCoachesAndOfficialsSorted[[#This Row],[Id]])-1))</f>
        <v/>
      </c>
      <c r="BM71" s="6" t="str">
        <f t="array" ref="BM71">IF(ROWS(tblData[[#Headers],[Id]]:tblData[[#This Row],[Id]])-1&gt;$BM$11,"",INDEX(tblData[Id],SMALL(IF(LEN(TRIM(tblData[Surname]))*(tblData[Type]=$BM$9),ROW(tblData[Id])-ROW(tblData[[#Headers],[Id]])),ROWS(tblData[[#Headers],[Id]]:tblData[[#This Row],[Id]])-1)))</f>
        <v/>
      </c>
      <c r="BO71" s="6" t="str">
        <f>IF(ROWS(tblWomenSorted[[#Headers],[Id]]:tblWomenSorted[[#This Row],[Id]])-1&gt;$BO$11,"",SMALL(tblWomen[Id],ROWS(tblWomenSorted[[#Headers],[Id]]:tblWomenSorted[[#This Row],[Id]])-1))</f>
        <v/>
      </c>
      <c r="BP71" s="17"/>
      <c r="BQ71" s="6" t="str">
        <f t="array" ref="BQ71">IF(ROWS(tblData[[#Headers],[Id]]:tblData[[#This Row],[Id]])-1&gt;$BQ$11,"",INDEX(tblData[Id],SMALL(IF(LEN(TRIM(tblData[Surname]))*(tblData[Type]=$BQ$9),ROW(tblData[Id])-ROW(tblData[[#Headers],[Id]])),ROWS(tblData[[#Headers],[Id]]:tblData[[#This Row],[Id]])-1)))</f>
        <v/>
      </c>
      <c r="BS71" s="6" t="str">
        <f>IF(ROWS(tblMenSorted[[#Headers],[Id]]:tblMenSorted[[#This Row],[Id]])-1&gt;$BS$11,"",SMALL(tblMen[Id],ROWS(tblMenSorted[[#Headers],[Id]]:tblMenSorted[[#This Row],[Id]])-1))</f>
        <v/>
      </c>
      <c r="BU71" s="6" t="str">
        <f t="array" ref="BU71">IF(ROWS(tblData[[#Headers],[Sorted Name Id]]:tblData[[#This Row],[Sorted Name Id]])-1&gt;$BU$11,"",INDEX(tblData[Sorted Name Id],SMALL(IF(LEN(TRIM(tblData[Surname]))*(tblData[Visa required]="YES"),ROW(tblData[Sorted Name Id])-ROW(tblData[[#Headers],[Sorted Name Id]])),ROWS(tblData[[#Headers],[Sorted Name Id]]:tblData[[#This Row],[Sorted Name Id]])-1)))</f>
        <v/>
      </c>
      <c r="BW71" s="6" t="str">
        <f>IF(ROWS(tblVisasSorted[[#Headers],[Id]]:tblVisasSorted[[#This Row],[Id]])-1&gt;$BW$11,"",SMALL(tblVisas[Id],ROWS(tblVisasSorted[[#Headers],[Id]]:tblVisasSorted[[#This Row],[Id]])-1))</f>
        <v/>
      </c>
      <c r="BY71" s="6" t="str">
        <f t="array" ref="BY71">IF(ROWS(tblData[[#Headers],[Sorted Arr Id]]:tblData[[#This Row],[Sorted Arr Id]])-1&gt;$BY$11,"",INDEX(tblData[Sorted Arr Id],SMALL(IF(LEN(TRIM(tblData[Surname]))*(tblData[Arr DateTime]&gt;0),ROW(tblData[Sorted Arr Id])-ROW(tblData[[#Headers],[Sorted Arr Id]])),ROWS(tblData[[#Headers],[Sorted Arr Id]]:tblData[[#This Row],[Sorted Arr Id]])-1)))</f>
        <v/>
      </c>
      <c r="CA71" s="6" t="str">
        <f>IF(ROWS(tblArrivalSorted[[#Headers],[Id]]:tblArrivalSorted[[#This Row],[Id]])-1&gt;$CA$11,"",SMALL(tblArrival[Id],ROWS(tblArrivalSorted[[#Headers],[Id]]:tblArrivalSorted[[#This Row],[Id]])-1))</f>
        <v/>
      </c>
      <c r="CC71" s="6" t="str">
        <f t="array" ref="CC71">IF(ROWS(tblData[[#Headers],[Sorted Dep Id]]:tblData[[#This Row],[Sorted Dep Id]])-1&gt;$CC$11,"",INDEX(tblData[Sorted Dep Id],SMALL(IF(LEN(TRIM(tblData[Surname]))*(tblData[Dep DateTime]&gt;0),ROW(tblData[Sorted Dep Id])-ROW(tblData[[#Headers],[Sorted Dep Id]])),ROWS(tblData[[#Headers],[Sorted Dep Id]]:tblData[[#This Row],[Sorted Dep Id]])-1)))</f>
        <v/>
      </c>
      <c r="CE71" s="6" t="str">
        <f>IF(ROWS(tblDepartureSorted[[#Headers],[Id]]:tblDepartureSorted[[#This Row],[Id]])-1&gt;$CE$11,"",SMALL(tblDeparture[Id],ROWS(tblDepartureSorted[[#Headers],[Id]]:tblDepartureSorted[[#This Row],[Id]])-1))</f>
        <v/>
      </c>
      <c r="CG71" s="6" t="str">
        <f t="array" ref="CG71">IF(ROWS(tblData[[#Headers],[Id]]:tblData[[#This Row],[Id]])-1&gt;$CG$11,"",INDEX(tblData[Id],SMALL(IF(LEN(TRIM(tblData[Surname])),ROW(tblData[Id])-ROW(tblData[[#Headers],[Id]])),ROWS(tblData[[#Headers],[Id]]:tblData[[#This Row],[Id]])-1)))</f>
        <v/>
      </c>
    </row>
    <row r="72" spans="1:85" s="6" customFormat="1">
      <c r="A72" s="14">
        <f>IF(ISNUMBER(tblData[[#This Row],[SubType2]]),tblData[[#This Row],[SubType2]]*10000+tblData[[#This Row],[No]],1000000+tblData[[#This Row],[No]])</f>
        <v>1000059</v>
      </c>
      <c r="B72" s="14">
        <f>IFERROR(tblData[[#This Row],[Surname Rang]]*1000+tblData[[#This Row],[Given Name Rang]]+tblData[[#This Row],[No]]/1000,"")</f>
        <v>5.8999999999999997E-2</v>
      </c>
      <c r="C72" s="14">
        <f>IFERROR(tblData[[#This Row],[Arr DateTime Rang]]+tblData[[#This Row],[No]]/1000,"")</f>
        <v>110.059</v>
      </c>
      <c r="D72" s="14">
        <f>IFERROR(tblData[[#This Row],[Dep DateTime Rang]]+tblData[[#This Row],[No]]/1000,"")</f>
        <v>110.059</v>
      </c>
      <c r="E72" s="362">
        <f t="shared" si="1"/>
        <v>59</v>
      </c>
      <c r="F72" s="370"/>
      <c r="G72" s="331"/>
      <c r="H72" s="328"/>
      <c r="I72" s="329"/>
      <c r="J72" s="330"/>
      <c r="K72" s="369"/>
      <c r="L72" s="375"/>
      <c r="M72" s="331"/>
      <c r="N72" s="331"/>
      <c r="O72" s="331"/>
      <c r="P72" s="329"/>
      <c r="Q72" s="376"/>
      <c r="R72" s="383"/>
      <c r="S72" s="332"/>
      <c r="T72" s="331"/>
      <c r="U72" s="333"/>
      <c r="V72" s="333"/>
      <c r="W72" s="384"/>
      <c r="X72" s="383"/>
      <c r="Y72" s="332"/>
      <c r="Z72" s="331"/>
      <c r="AA72" s="331"/>
      <c r="AB72" s="333"/>
      <c r="AC72" s="384"/>
      <c r="AD72" s="375"/>
      <c r="AE72" s="369"/>
      <c r="AF72" s="397"/>
      <c r="AG72" s="328"/>
      <c r="AH72" s="328"/>
      <c r="AI72" s="328"/>
      <c r="AJ72" s="328"/>
      <c r="AK72" s="328"/>
      <c r="AL72" s="328"/>
      <c r="AM72" s="328"/>
      <c r="AN72" s="398"/>
      <c r="AO72" s="402" t="str">
        <f>IF(ISBLANK(tblData[[#This Row],[Surname]]),"",IF(tblData[[#This Row],[Bill Accred Fee]]=0,"NO","YES"))</f>
        <v/>
      </c>
      <c r="AP72" s="406">
        <f>IF(AND(NOT(ISBLANK(tblData[[#This Row],[Surname]])),COUNTA(tblData[[#This Row],[Day 1]:[Day 9]])=0),1,0)</f>
        <v>0</v>
      </c>
      <c r="AQ72" s="406">
        <f>IF(AND(NOT(ISBLANK(tblData[[#This Row],[Surname]])),tblData[[#This Row],[Position]]="Athlete"),1,0)</f>
        <v>0</v>
      </c>
      <c r="AR72" s="433">
        <f>EntryFee*tblData[[#This Row],[Entry Fee Billable]]</f>
        <v>0</v>
      </c>
      <c r="AS72" s="410" t="e">
        <f>IF(ISBLANK(SelectedCategory),"No Cat!",IF(ISBLANK($F72),0,IFERROR(VLOOKUP(AS$12&amp;", "&amp;tblData[[#This Row],[Day 1]],tblAccommodationCosts[],5,FALSE),0)+IFERROR(VLOOKUP(AS$12&amp;", "&amp;tblData[[#This Row],[Day 2]],tblAccommodationCosts[],5,FALSE),0)+IFERROR(VLOOKUP(AS$12&amp;", "&amp;tblData[[#This Row],[Day 3]],tblAccommodationCosts[],5,FALSE),0)+IFERROR(VLOOKUP(AS$12&amp;", "&amp;tblData[[#This Row],[Day 4]],tblAccommodationCosts[],5,FALSE),0)+IFERROR(VLOOKUP(AS$12&amp;", "&amp;tblData[[#This Row],[Day 5]],tblAccommodationCosts[],5,FALSE),0)+IFERROR(VLOOKUP(AS$12&amp;", "&amp;tblData[[#This Row],[Day 6]],tblAccommodationCosts[],5,FALSE),0)+IFERROR(VLOOKUP(AS$12&amp;", "&amp;tblData[[#This Row],[Day 7]],tblAccommodationCosts[],5,FALSE),0)+IFERROR(VLOOKUP(AS$12&amp;", "&amp;tblData[[#This Row],[Day 8]],tblAccommodationCosts[],5,FALSE),0)+IFERROR(VLOOKUP(AS$12&amp;", "&amp;tblData[[#This Row],[Day 9]],tblAccommodationCosts[],5,FALSE),0)+AccreditationFee*tblData[[#This Row],[Bill Accred Fee]]))+tblData[[#This Row],[Entry Fee]]</f>
        <v>#VALUE!</v>
      </c>
      <c r="AT72" s="324" t="str">
        <f>IFERROR(VLOOKUP(tblData[[#This Row],[Weight Category, Function, and Gender]],tblWeightOrFunction[],3,0),"")</f>
        <v/>
      </c>
      <c r="AU72" s="84" t="str">
        <f>IFERROR(VLOOKUP(tblData[[#This Row],[Weight Category, Function, and Gender]],tblWeightOrFunction[],4,0),"")</f>
        <v/>
      </c>
      <c r="AV72" s="85" t="str">
        <f>IFERROR(VLOOKUP(tblData[[#This Row],[Weight Category, Function, and Gender]],tblWeightOrFunction[],7,0),"")</f>
        <v/>
      </c>
      <c r="AW72" s="84" t="str">
        <f>IFERROR(VLOOKUP(tblData[[#This Row],[Weight Category, Function, and Gender]],tblWeightOrFunction[],6,0),"")</f>
        <v/>
      </c>
      <c r="AX72" s="84" t="str">
        <f>IFERROR(VLOOKUP(tblData[[#This Row],[Weight Category, Function, and Gender]],tblWeightOrFunction[],2,0),"")</f>
        <v/>
      </c>
      <c r="AY72" s="75">
        <f>tblData[[#This Row],[Arr Date]]+tblData[[#This Row],[Arr Time]]</f>
        <v>0</v>
      </c>
      <c r="AZ72" s="75">
        <f>tblData[[#This Row],[Dep Date]]+tblData[[#This Row],[Dep Time]]</f>
        <v>0</v>
      </c>
      <c r="BA72" s="72">
        <f>COUNTIF(tblData[Surname],"&lt;="&amp;tblData[Surname])</f>
        <v>0</v>
      </c>
      <c r="BB72" s="72">
        <f>COUNTIF(tblData[Given name],"&lt;="&amp;tblData[Given name])</f>
        <v>0</v>
      </c>
      <c r="BC72" s="72">
        <f>COUNTIF(tblData[Arr DateTime],"&lt;="&amp;tblData[Arr DateTime])</f>
        <v>110</v>
      </c>
      <c r="BD72" s="72">
        <f>COUNTIF(tblData[Dep DateTime],"&lt;="&amp;tblData[Dep DateTime])</f>
        <v>110</v>
      </c>
      <c r="BE72" s="72">
        <f>COUNTIF(tblData[ShuttleAtDeparture],"&lt;="&amp;tblData[ShuttleAtDeparture])</f>
        <v>0</v>
      </c>
      <c r="BI72" s="6" t="str">
        <f t="array" ref="BI72">IF(ROWS(tblData[[#Headers],[Id]]:tblData[[#This Row],[Id]])-1&gt;$BI$11,"",INDEX(tblData[Id],SMALL(IF(LEN(TRIM(tblData[Surname]))*((tblData[Type]=$BI$9)+(tblData[Type]=$BI$10)),ROW(tblData[Id])-ROW(tblData[[#Headers],[Id]])),ROWS(tblData[[#Headers],[Id]]:tblData[[#This Row],[Id]])-1)))</f>
        <v/>
      </c>
      <c r="BK72" s="6" t="str">
        <f>IF(ROWS(tblCoachesAndOfficialsSorted[[#Headers],[Id]]:tblCoachesAndOfficialsSorted[[#This Row],[Id]])-1&gt;$BK$11,"",SMALL(tblCoachesAndOfficials[Id],ROWS(tblCoachesAndOfficialsSorted[[#Headers],[Id]]:tblCoachesAndOfficialsSorted[[#This Row],[Id]])-1))</f>
        <v/>
      </c>
      <c r="BM72" s="6" t="str">
        <f t="array" ref="BM72">IF(ROWS(tblData[[#Headers],[Id]]:tblData[[#This Row],[Id]])-1&gt;$BM$11,"",INDEX(tblData[Id],SMALL(IF(LEN(TRIM(tblData[Surname]))*(tblData[Type]=$BM$9),ROW(tblData[Id])-ROW(tblData[[#Headers],[Id]])),ROWS(tblData[[#Headers],[Id]]:tblData[[#This Row],[Id]])-1)))</f>
        <v/>
      </c>
      <c r="BO72" s="6" t="str">
        <f>IF(ROWS(tblWomenSorted[[#Headers],[Id]]:tblWomenSorted[[#This Row],[Id]])-1&gt;$BO$11,"",SMALL(tblWomen[Id],ROWS(tblWomenSorted[[#Headers],[Id]]:tblWomenSorted[[#This Row],[Id]])-1))</f>
        <v/>
      </c>
      <c r="BP72" s="17"/>
      <c r="BQ72" s="6" t="str">
        <f t="array" ref="BQ72">IF(ROWS(tblData[[#Headers],[Id]]:tblData[[#This Row],[Id]])-1&gt;$BQ$11,"",INDEX(tblData[Id],SMALL(IF(LEN(TRIM(tblData[Surname]))*(tblData[Type]=$BQ$9),ROW(tblData[Id])-ROW(tblData[[#Headers],[Id]])),ROWS(tblData[[#Headers],[Id]]:tblData[[#This Row],[Id]])-1)))</f>
        <v/>
      </c>
      <c r="BS72" s="6" t="str">
        <f>IF(ROWS(tblMenSorted[[#Headers],[Id]]:tblMenSorted[[#This Row],[Id]])-1&gt;$BS$11,"",SMALL(tblMen[Id],ROWS(tblMenSorted[[#Headers],[Id]]:tblMenSorted[[#This Row],[Id]])-1))</f>
        <v/>
      </c>
      <c r="BU72" s="6" t="str">
        <f t="array" ref="BU72">IF(ROWS(tblData[[#Headers],[Sorted Name Id]]:tblData[[#This Row],[Sorted Name Id]])-1&gt;$BU$11,"",INDEX(tblData[Sorted Name Id],SMALL(IF(LEN(TRIM(tblData[Surname]))*(tblData[Visa required]="YES"),ROW(tblData[Sorted Name Id])-ROW(tblData[[#Headers],[Sorted Name Id]])),ROWS(tblData[[#Headers],[Sorted Name Id]]:tblData[[#This Row],[Sorted Name Id]])-1)))</f>
        <v/>
      </c>
      <c r="BW72" s="6" t="str">
        <f>IF(ROWS(tblVisasSorted[[#Headers],[Id]]:tblVisasSorted[[#This Row],[Id]])-1&gt;$BW$11,"",SMALL(tblVisas[Id],ROWS(tblVisasSorted[[#Headers],[Id]]:tblVisasSorted[[#This Row],[Id]])-1))</f>
        <v/>
      </c>
      <c r="BY72" s="6" t="str">
        <f t="array" ref="BY72">IF(ROWS(tblData[[#Headers],[Sorted Arr Id]]:tblData[[#This Row],[Sorted Arr Id]])-1&gt;$BY$11,"",INDEX(tblData[Sorted Arr Id],SMALL(IF(LEN(TRIM(tblData[Surname]))*(tblData[Arr DateTime]&gt;0),ROW(tblData[Sorted Arr Id])-ROW(tblData[[#Headers],[Sorted Arr Id]])),ROWS(tblData[[#Headers],[Sorted Arr Id]]:tblData[[#This Row],[Sorted Arr Id]])-1)))</f>
        <v/>
      </c>
      <c r="CA72" s="6" t="str">
        <f>IF(ROWS(tblArrivalSorted[[#Headers],[Id]]:tblArrivalSorted[[#This Row],[Id]])-1&gt;$CA$11,"",SMALL(tblArrival[Id],ROWS(tblArrivalSorted[[#Headers],[Id]]:tblArrivalSorted[[#This Row],[Id]])-1))</f>
        <v/>
      </c>
      <c r="CC72" s="6" t="str">
        <f t="array" ref="CC72">IF(ROWS(tblData[[#Headers],[Sorted Dep Id]]:tblData[[#This Row],[Sorted Dep Id]])-1&gt;$CC$11,"",INDEX(tblData[Sorted Dep Id],SMALL(IF(LEN(TRIM(tblData[Surname]))*(tblData[Dep DateTime]&gt;0),ROW(tblData[Sorted Dep Id])-ROW(tblData[[#Headers],[Sorted Dep Id]])),ROWS(tblData[[#Headers],[Sorted Dep Id]]:tblData[[#This Row],[Sorted Dep Id]])-1)))</f>
        <v/>
      </c>
      <c r="CE72" s="6" t="str">
        <f>IF(ROWS(tblDepartureSorted[[#Headers],[Id]]:tblDepartureSorted[[#This Row],[Id]])-1&gt;$CE$11,"",SMALL(tblDeparture[Id],ROWS(tblDepartureSorted[[#Headers],[Id]]:tblDepartureSorted[[#This Row],[Id]])-1))</f>
        <v/>
      </c>
      <c r="CG72" s="6" t="str">
        <f t="array" ref="CG72">IF(ROWS(tblData[[#Headers],[Id]]:tblData[[#This Row],[Id]])-1&gt;$CG$11,"",INDEX(tblData[Id],SMALL(IF(LEN(TRIM(tblData[Surname])),ROW(tblData[Id])-ROW(tblData[[#Headers],[Id]])),ROWS(tblData[[#Headers],[Id]]:tblData[[#This Row],[Id]])-1)))</f>
        <v/>
      </c>
    </row>
    <row r="73" spans="1:85" s="6" customFormat="1">
      <c r="A73" s="14">
        <f>IF(ISNUMBER(tblData[[#This Row],[SubType2]]),tblData[[#This Row],[SubType2]]*10000+tblData[[#This Row],[No]],1000000+tblData[[#This Row],[No]])</f>
        <v>1000060</v>
      </c>
      <c r="B73" s="14">
        <f>IFERROR(tblData[[#This Row],[Surname Rang]]*1000+tblData[[#This Row],[Given Name Rang]]+tblData[[#This Row],[No]]/1000,"")</f>
        <v>0.06</v>
      </c>
      <c r="C73" s="14">
        <f>IFERROR(tblData[[#This Row],[Arr DateTime Rang]]+tblData[[#This Row],[No]]/1000,"")</f>
        <v>110.06</v>
      </c>
      <c r="D73" s="14">
        <f>IFERROR(tblData[[#This Row],[Dep DateTime Rang]]+tblData[[#This Row],[No]]/1000,"")</f>
        <v>110.06</v>
      </c>
      <c r="E73" s="362">
        <f t="shared" si="1"/>
        <v>60</v>
      </c>
      <c r="F73" s="370"/>
      <c r="G73" s="331"/>
      <c r="H73" s="328"/>
      <c r="I73" s="329"/>
      <c r="J73" s="330"/>
      <c r="K73" s="369"/>
      <c r="L73" s="375"/>
      <c r="M73" s="331"/>
      <c r="N73" s="331"/>
      <c r="O73" s="331"/>
      <c r="P73" s="329"/>
      <c r="Q73" s="376"/>
      <c r="R73" s="383"/>
      <c r="S73" s="332"/>
      <c r="T73" s="331"/>
      <c r="U73" s="333"/>
      <c r="V73" s="333"/>
      <c r="W73" s="384"/>
      <c r="X73" s="383"/>
      <c r="Y73" s="332"/>
      <c r="Z73" s="331"/>
      <c r="AA73" s="331"/>
      <c r="AB73" s="333"/>
      <c r="AC73" s="384"/>
      <c r="AD73" s="375"/>
      <c r="AE73" s="369"/>
      <c r="AF73" s="397"/>
      <c r="AG73" s="328"/>
      <c r="AH73" s="328"/>
      <c r="AI73" s="328"/>
      <c r="AJ73" s="328"/>
      <c r="AK73" s="328"/>
      <c r="AL73" s="328"/>
      <c r="AM73" s="328"/>
      <c r="AN73" s="398"/>
      <c r="AO73" s="402" t="str">
        <f>IF(ISBLANK(tblData[[#This Row],[Surname]]),"",IF(tblData[[#This Row],[Bill Accred Fee]]=0,"NO","YES"))</f>
        <v/>
      </c>
      <c r="AP73" s="406">
        <f>IF(AND(NOT(ISBLANK(tblData[[#This Row],[Surname]])),COUNTA(tblData[[#This Row],[Day 1]:[Day 9]])=0),1,0)</f>
        <v>0</v>
      </c>
      <c r="AQ73" s="406">
        <f>IF(AND(NOT(ISBLANK(tblData[[#This Row],[Surname]])),tblData[[#This Row],[Position]]="Athlete"),1,0)</f>
        <v>0</v>
      </c>
      <c r="AR73" s="433">
        <f>EntryFee*tblData[[#This Row],[Entry Fee Billable]]</f>
        <v>0</v>
      </c>
      <c r="AS73" s="410" t="e">
        <f>IF(ISBLANK(SelectedCategory),"No Cat!",IF(ISBLANK($F73),0,IFERROR(VLOOKUP(AS$12&amp;", "&amp;tblData[[#This Row],[Day 1]],tblAccommodationCosts[],5,FALSE),0)+IFERROR(VLOOKUP(AS$12&amp;", "&amp;tblData[[#This Row],[Day 2]],tblAccommodationCosts[],5,FALSE),0)+IFERROR(VLOOKUP(AS$12&amp;", "&amp;tblData[[#This Row],[Day 3]],tblAccommodationCosts[],5,FALSE),0)+IFERROR(VLOOKUP(AS$12&amp;", "&amp;tblData[[#This Row],[Day 4]],tblAccommodationCosts[],5,FALSE),0)+IFERROR(VLOOKUP(AS$12&amp;", "&amp;tblData[[#This Row],[Day 5]],tblAccommodationCosts[],5,FALSE),0)+IFERROR(VLOOKUP(AS$12&amp;", "&amp;tblData[[#This Row],[Day 6]],tblAccommodationCosts[],5,FALSE),0)+IFERROR(VLOOKUP(AS$12&amp;", "&amp;tblData[[#This Row],[Day 7]],tblAccommodationCosts[],5,FALSE),0)+IFERROR(VLOOKUP(AS$12&amp;", "&amp;tblData[[#This Row],[Day 8]],tblAccommodationCosts[],5,FALSE),0)+IFERROR(VLOOKUP(AS$12&amp;", "&amp;tblData[[#This Row],[Day 9]],tblAccommodationCosts[],5,FALSE),0)+AccreditationFee*tblData[[#This Row],[Bill Accred Fee]]))+tblData[[#This Row],[Entry Fee]]</f>
        <v>#VALUE!</v>
      </c>
      <c r="AT73" s="324" t="str">
        <f>IFERROR(VLOOKUP(tblData[[#This Row],[Weight Category, Function, and Gender]],tblWeightOrFunction[],3,0),"")</f>
        <v/>
      </c>
      <c r="AU73" s="84" t="str">
        <f>IFERROR(VLOOKUP(tblData[[#This Row],[Weight Category, Function, and Gender]],tblWeightOrFunction[],4,0),"")</f>
        <v/>
      </c>
      <c r="AV73" s="85" t="str">
        <f>IFERROR(VLOOKUP(tblData[[#This Row],[Weight Category, Function, and Gender]],tblWeightOrFunction[],7,0),"")</f>
        <v/>
      </c>
      <c r="AW73" s="84" t="str">
        <f>IFERROR(VLOOKUP(tblData[[#This Row],[Weight Category, Function, and Gender]],tblWeightOrFunction[],6,0),"")</f>
        <v/>
      </c>
      <c r="AX73" s="84" t="str">
        <f>IFERROR(VLOOKUP(tblData[[#This Row],[Weight Category, Function, and Gender]],tblWeightOrFunction[],2,0),"")</f>
        <v/>
      </c>
      <c r="AY73" s="75">
        <f>tblData[[#This Row],[Arr Date]]+tblData[[#This Row],[Arr Time]]</f>
        <v>0</v>
      </c>
      <c r="AZ73" s="75">
        <f>tblData[[#This Row],[Dep Date]]+tblData[[#This Row],[Dep Time]]</f>
        <v>0</v>
      </c>
      <c r="BA73" s="72">
        <f>COUNTIF(tblData[Surname],"&lt;="&amp;tblData[Surname])</f>
        <v>0</v>
      </c>
      <c r="BB73" s="72">
        <f>COUNTIF(tblData[Given name],"&lt;="&amp;tblData[Given name])</f>
        <v>0</v>
      </c>
      <c r="BC73" s="72">
        <f>COUNTIF(tblData[Arr DateTime],"&lt;="&amp;tblData[Arr DateTime])</f>
        <v>110</v>
      </c>
      <c r="BD73" s="72">
        <f>COUNTIF(tblData[Dep DateTime],"&lt;="&amp;tblData[Dep DateTime])</f>
        <v>110</v>
      </c>
      <c r="BE73" s="72">
        <f>COUNTIF(tblData[ShuttleAtDeparture],"&lt;="&amp;tblData[ShuttleAtDeparture])</f>
        <v>0</v>
      </c>
      <c r="BI73" s="6" t="str">
        <f t="array" ref="BI73">IF(ROWS(tblData[[#Headers],[Id]]:tblData[[#This Row],[Id]])-1&gt;$BI$11,"",INDEX(tblData[Id],SMALL(IF(LEN(TRIM(tblData[Surname]))*((tblData[Type]=$BI$9)+(tblData[Type]=$BI$10)),ROW(tblData[Id])-ROW(tblData[[#Headers],[Id]])),ROWS(tblData[[#Headers],[Id]]:tblData[[#This Row],[Id]])-1)))</f>
        <v/>
      </c>
      <c r="BK73" s="6" t="str">
        <f>IF(ROWS(tblCoachesAndOfficialsSorted[[#Headers],[Id]]:tblCoachesAndOfficialsSorted[[#This Row],[Id]])-1&gt;$BK$11,"",SMALL(tblCoachesAndOfficials[Id],ROWS(tblCoachesAndOfficialsSorted[[#Headers],[Id]]:tblCoachesAndOfficialsSorted[[#This Row],[Id]])-1))</f>
        <v/>
      </c>
      <c r="BM73" s="6" t="str">
        <f t="array" ref="BM73">IF(ROWS(tblData[[#Headers],[Id]]:tblData[[#This Row],[Id]])-1&gt;$BM$11,"",INDEX(tblData[Id],SMALL(IF(LEN(TRIM(tblData[Surname]))*(tblData[Type]=$BM$9),ROW(tblData[Id])-ROW(tblData[[#Headers],[Id]])),ROWS(tblData[[#Headers],[Id]]:tblData[[#This Row],[Id]])-1)))</f>
        <v/>
      </c>
      <c r="BO73" s="6" t="str">
        <f>IF(ROWS(tblWomenSorted[[#Headers],[Id]]:tblWomenSorted[[#This Row],[Id]])-1&gt;$BO$11,"",SMALL(tblWomen[Id],ROWS(tblWomenSorted[[#Headers],[Id]]:tblWomenSorted[[#This Row],[Id]])-1))</f>
        <v/>
      </c>
      <c r="BP73" s="17"/>
      <c r="BQ73" s="6" t="str">
        <f t="array" ref="BQ73">IF(ROWS(tblData[[#Headers],[Id]]:tblData[[#This Row],[Id]])-1&gt;$BQ$11,"",INDEX(tblData[Id],SMALL(IF(LEN(TRIM(tblData[Surname]))*(tblData[Type]=$BQ$9),ROW(tblData[Id])-ROW(tblData[[#Headers],[Id]])),ROWS(tblData[[#Headers],[Id]]:tblData[[#This Row],[Id]])-1)))</f>
        <v/>
      </c>
      <c r="BS73" s="6" t="str">
        <f>IF(ROWS(tblMenSorted[[#Headers],[Id]]:tblMenSorted[[#This Row],[Id]])-1&gt;$BS$11,"",SMALL(tblMen[Id],ROWS(tblMenSorted[[#Headers],[Id]]:tblMenSorted[[#This Row],[Id]])-1))</f>
        <v/>
      </c>
      <c r="BU73" s="6" t="str">
        <f t="array" ref="BU73">IF(ROWS(tblData[[#Headers],[Sorted Name Id]]:tblData[[#This Row],[Sorted Name Id]])-1&gt;$BU$11,"",INDEX(tblData[Sorted Name Id],SMALL(IF(LEN(TRIM(tblData[Surname]))*(tblData[Visa required]="YES"),ROW(tblData[Sorted Name Id])-ROW(tblData[[#Headers],[Sorted Name Id]])),ROWS(tblData[[#Headers],[Sorted Name Id]]:tblData[[#This Row],[Sorted Name Id]])-1)))</f>
        <v/>
      </c>
      <c r="BW73" s="6" t="str">
        <f>IF(ROWS(tblVisasSorted[[#Headers],[Id]]:tblVisasSorted[[#This Row],[Id]])-1&gt;$BW$11,"",SMALL(tblVisas[Id],ROWS(tblVisasSorted[[#Headers],[Id]]:tblVisasSorted[[#This Row],[Id]])-1))</f>
        <v/>
      </c>
      <c r="BY73" s="6" t="str">
        <f t="array" ref="BY73">IF(ROWS(tblData[[#Headers],[Sorted Arr Id]]:tblData[[#This Row],[Sorted Arr Id]])-1&gt;$BY$11,"",INDEX(tblData[Sorted Arr Id],SMALL(IF(LEN(TRIM(tblData[Surname]))*(tblData[Arr DateTime]&gt;0),ROW(tblData[Sorted Arr Id])-ROW(tblData[[#Headers],[Sorted Arr Id]])),ROWS(tblData[[#Headers],[Sorted Arr Id]]:tblData[[#This Row],[Sorted Arr Id]])-1)))</f>
        <v/>
      </c>
      <c r="CA73" s="6" t="str">
        <f>IF(ROWS(tblArrivalSorted[[#Headers],[Id]]:tblArrivalSorted[[#This Row],[Id]])-1&gt;$CA$11,"",SMALL(tblArrival[Id],ROWS(tblArrivalSorted[[#Headers],[Id]]:tblArrivalSorted[[#This Row],[Id]])-1))</f>
        <v/>
      </c>
      <c r="CC73" s="6" t="str">
        <f t="array" ref="CC73">IF(ROWS(tblData[[#Headers],[Sorted Dep Id]]:tblData[[#This Row],[Sorted Dep Id]])-1&gt;$CC$11,"",INDEX(tblData[Sorted Dep Id],SMALL(IF(LEN(TRIM(tblData[Surname]))*(tblData[Dep DateTime]&gt;0),ROW(tblData[Sorted Dep Id])-ROW(tblData[[#Headers],[Sorted Dep Id]])),ROWS(tblData[[#Headers],[Sorted Dep Id]]:tblData[[#This Row],[Sorted Dep Id]])-1)))</f>
        <v/>
      </c>
      <c r="CE73" s="6" t="str">
        <f>IF(ROWS(tblDepartureSorted[[#Headers],[Id]]:tblDepartureSorted[[#This Row],[Id]])-1&gt;$CE$11,"",SMALL(tblDeparture[Id],ROWS(tblDepartureSorted[[#Headers],[Id]]:tblDepartureSorted[[#This Row],[Id]])-1))</f>
        <v/>
      </c>
      <c r="CG73" s="6" t="str">
        <f t="array" ref="CG73">IF(ROWS(tblData[[#Headers],[Id]]:tblData[[#This Row],[Id]])-1&gt;$CG$11,"",INDEX(tblData[Id],SMALL(IF(LEN(TRIM(tblData[Surname])),ROW(tblData[Id])-ROW(tblData[[#Headers],[Id]])),ROWS(tblData[[#Headers],[Id]]:tblData[[#This Row],[Id]])-1)))</f>
        <v/>
      </c>
    </row>
    <row r="74" spans="1:85" s="6" customFormat="1">
      <c r="A74" s="14">
        <f>IF(ISNUMBER(tblData[[#This Row],[SubType2]]),tblData[[#This Row],[SubType2]]*10000+tblData[[#This Row],[No]],1000000+tblData[[#This Row],[No]])</f>
        <v>1000061</v>
      </c>
      <c r="B74" s="14">
        <f>IFERROR(tblData[[#This Row],[Surname Rang]]*1000+tblData[[#This Row],[Given Name Rang]]+tblData[[#This Row],[No]]/1000,"")</f>
        <v>6.0999999999999999E-2</v>
      </c>
      <c r="C74" s="14">
        <f>IFERROR(tblData[[#This Row],[Arr DateTime Rang]]+tblData[[#This Row],[No]]/1000,"")</f>
        <v>110.06100000000001</v>
      </c>
      <c r="D74" s="14">
        <f>IFERROR(tblData[[#This Row],[Dep DateTime Rang]]+tblData[[#This Row],[No]]/1000,"")</f>
        <v>110.06100000000001</v>
      </c>
      <c r="E74" s="362">
        <f t="shared" si="1"/>
        <v>61</v>
      </c>
      <c r="F74" s="370"/>
      <c r="G74" s="331"/>
      <c r="H74" s="328"/>
      <c r="I74" s="329"/>
      <c r="J74" s="330"/>
      <c r="K74" s="369"/>
      <c r="L74" s="375"/>
      <c r="M74" s="331"/>
      <c r="N74" s="331"/>
      <c r="O74" s="331"/>
      <c r="P74" s="329"/>
      <c r="Q74" s="376"/>
      <c r="R74" s="383"/>
      <c r="S74" s="332"/>
      <c r="T74" s="331"/>
      <c r="U74" s="333"/>
      <c r="V74" s="333"/>
      <c r="W74" s="384"/>
      <c r="X74" s="383"/>
      <c r="Y74" s="332"/>
      <c r="Z74" s="331"/>
      <c r="AA74" s="331"/>
      <c r="AB74" s="333"/>
      <c r="AC74" s="384"/>
      <c r="AD74" s="375"/>
      <c r="AE74" s="369"/>
      <c r="AF74" s="397"/>
      <c r="AG74" s="328"/>
      <c r="AH74" s="328"/>
      <c r="AI74" s="328"/>
      <c r="AJ74" s="328"/>
      <c r="AK74" s="328"/>
      <c r="AL74" s="328"/>
      <c r="AM74" s="328"/>
      <c r="AN74" s="398"/>
      <c r="AO74" s="402" t="str">
        <f>IF(ISBLANK(tblData[[#This Row],[Surname]]),"",IF(tblData[[#This Row],[Bill Accred Fee]]=0,"NO","YES"))</f>
        <v/>
      </c>
      <c r="AP74" s="406">
        <f>IF(AND(NOT(ISBLANK(tblData[[#This Row],[Surname]])),COUNTA(tblData[[#This Row],[Day 1]:[Day 9]])=0),1,0)</f>
        <v>0</v>
      </c>
      <c r="AQ74" s="406">
        <f>IF(AND(NOT(ISBLANK(tblData[[#This Row],[Surname]])),tblData[[#This Row],[Position]]="Athlete"),1,0)</f>
        <v>0</v>
      </c>
      <c r="AR74" s="433">
        <f>EntryFee*tblData[[#This Row],[Entry Fee Billable]]</f>
        <v>0</v>
      </c>
      <c r="AS74" s="410" t="e">
        <f>IF(ISBLANK(SelectedCategory),"No Cat!",IF(ISBLANK($F74),0,IFERROR(VLOOKUP(AS$12&amp;", "&amp;tblData[[#This Row],[Day 1]],tblAccommodationCosts[],5,FALSE),0)+IFERROR(VLOOKUP(AS$12&amp;", "&amp;tblData[[#This Row],[Day 2]],tblAccommodationCosts[],5,FALSE),0)+IFERROR(VLOOKUP(AS$12&amp;", "&amp;tblData[[#This Row],[Day 3]],tblAccommodationCosts[],5,FALSE),0)+IFERROR(VLOOKUP(AS$12&amp;", "&amp;tblData[[#This Row],[Day 4]],tblAccommodationCosts[],5,FALSE),0)+IFERROR(VLOOKUP(AS$12&amp;", "&amp;tblData[[#This Row],[Day 5]],tblAccommodationCosts[],5,FALSE),0)+IFERROR(VLOOKUP(AS$12&amp;", "&amp;tblData[[#This Row],[Day 6]],tblAccommodationCosts[],5,FALSE),0)+IFERROR(VLOOKUP(AS$12&amp;", "&amp;tblData[[#This Row],[Day 7]],tblAccommodationCosts[],5,FALSE),0)+IFERROR(VLOOKUP(AS$12&amp;", "&amp;tblData[[#This Row],[Day 8]],tblAccommodationCosts[],5,FALSE),0)+IFERROR(VLOOKUP(AS$12&amp;", "&amp;tblData[[#This Row],[Day 9]],tblAccommodationCosts[],5,FALSE),0)+AccreditationFee*tblData[[#This Row],[Bill Accred Fee]]))+tblData[[#This Row],[Entry Fee]]</f>
        <v>#VALUE!</v>
      </c>
      <c r="AT74" s="324" t="str">
        <f>IFERROR(VLOOKUP(tblData[[#This Row],[Weight Category, Function, and Gender]],tblWeightOrFunction[],3,0),"")</f>
        <v/>
      </c>
      <c r="AU74" s="84" t="str">
        <f>IFERROR(VLOOKUP(tblData[[#This Row],[Weight Category, Function, and Gender]],tblWeightOrFunction[],4,0),"")</f>
        <v/>
      </c>
      <c r="AV74" s="85" t="str">
        <f>IFERROR(VLOOKUP(tblData[[#This Row],[Weight Category, Function, and Gender]],tblWeightOrFunction[],7,0),"")</f>
        <v/>
      </c>
      <c r="AW74" s="84" t="str">
        <f>IFERROR(VLOOKUP(tblData[[#This Row],[Weight Category, Function, and Gender]],tblWeightOrFunction[],6,0),"")</f>
        <v/>
      </c>
      <c r="AX74" s="84" t="str">
        <f>IFERROR(VLOOKUP(tblData[[#This Row],[Weight Category, Function, and Gender]],tblWeightOrFunction[],2,0),"")</f>
        <v/>
      </c>
      <c r="AY74" s="75">
        <f>tblData[[#This Row],[Arr Date]]+tblData[[#This Row],[Arr Time]]</f>
        <v>0</v>
      </c>
      <c r="AZ74" s="75">
        <f>tblData[[#This Row],[Dep Date]]+tblData[[#This Row],[Dep Time]]</f>
        <v>0</v>
      </c>
      <c r="BA74" s="72">
        <f>COUNTIF(tblData[Surname],"&lt;="&amp;tblData[Surname])</f>
        <v>0</v>
      </c>
      <c r="BB74" s="72">
        <f>COUNTIF(tblData[Given name],"&lt;="&amp;tblData[Given name])</f>
        <v>0</v>
      </c>
      <c r="BC74" s="72">
        <f>COUNTIF(tblData[Arr DateTime],"&lt;="&amp;tblData[Arr DateTime])</f>
        <v>110</v>
      </c>
      <c r="BD74" s="72">
        <f>COUNTIF(tblData[Dep DateTime],"&lt;="&amp;tblData[Dep DateTime])</f>
        <v>110</v>
      </c>
      <c r="BE74" s="72">
        <f>COUNTIF(tblData[ShuttleAtDeparture],"&lt;="&amp;tblData[ShuttleAtDeparture])</f>
        <v>0</v>
      </c>
      <c r="BI74" s="6" t="str">
        <f t="array" ref="BI74">IF(ROWS(tblData[[#Headers],[Id]]:tblData[[#This Row],[Id]])-1&gt;$BI$11,"",INDEX(tblData[Id],SMALL(IF(LEN(TRIM(tblData[Surname]))*((tblData[Type]=$BI$9)+(tblData[Type]=$BI$10)),ROW(tblData[Id])-ROW(tblData[[#Headers],[Id]])),ROWS(tblData[[#Headers],[Id]]:tblData[[#This Row],[Id]])-1)))</f>
        <v/>
      </c>
      <c r="BK74" s="6" t="str">
        <f>IF(ROWS(tblCoachesAndOfficialsSorted[[#Headers],[Id]]:tblCoachesAndOfficialsSorted[[#This Row],[Id]])-1&gt;$BK$11,"",SMALL(tblCoachesAndOfficials[Id],ROWS(tblCoachesAndOfficialsSorted[[#Headers],[Id]]:tblCoachesAndOfficialsSorted[[#This Row],[Id]])-1))</f>
        <v/>
      </c>
      <c r="BM74" s="6" t="str">
        <f t="array" ref="BM74">IF(ROWS(tblData[[#Headers],[Id]]:tblData[[#This Row],[Id]])-1&gt;$BM$11,"",INDEX(tblData[Id],SMALL(IF(LEN(TRIM(tblData[Surname]))*(tblData[Type]=$BM$9),ROW(tblData[Id])-ROW(tblData[[#Headers],[Id]])),ROWS(tblData[[#Headers],[Id]]:tblData[[#This Row],[Id]])-1)))</f>
        <v/>
      </c>
      <c r="BO74" s="6" t="str">
        <f>IF(ROWS(tblWomenSorted[[#Headers],[Id]]:tblWomenSorted[[#This Row],[Id]])-1&gt;$BO$11,"",SMALL(tblWomen[Id],ROWS(tblWomenSorted[[#Headers],[Id]]:tblWomenSorted[[#This Row],[Id]])-1))</f>
        <v/>
      </c>
      <c r="BP74" s="17"/>
      <c r="BQ74" s="6" t="str">
        <f t="array" ref="BQ74">IF(ROWS(tblData[[#Headers],[Id]]:tblData[[#This Row],[Id]])-1&gt;$BQ$11,"",INDEX(tblData[Id],SMALL(IF(LEN(TRIM(tblData[Surname]))*(tblData[Type]=$BQ$9),ROW(tblData[Id])-ROW(tblData[[#Headers],[Id]])),ROWS(tblData[[#Headers],[Id]]:tblData[[#This Row],[Id]])-1)))</f>
        <v/>
      </c>
      <c r="BS74" s="6" t="str">
        <f>IF(ROWS(tblMenSorted[[#Headers],[Id]]:tblMenSorted[[#This Row],[Id]])-1&gt;$BS$11,"",SMALL(tblMen[Id],ROWS(tblMenSorted[[#Headers],[Id]]:tblMenSorted[[#This Row],[Id]])-1))</f>
        <v/>
      </c>
      <c r="BU74" s="6" t="str">
        <f t="array" ref="BU74">IF(ROWS(tblData[[#Headers],[Sorted Name Id]]:tblData[[#This Row],[Sorted Name Id]])-1&gt;$BU$11,"",INDEX(tblData[Sorted Name Id],SMALL(IF(LEN(TRIM(tblData[Surname]))*(tblData[Visa required]="YES"),ROW(tblData[Sorted Name Id])-ROW(tblData[[#Headers],[Sorted Name Id]])),ROWS(tblData[[#Headers],[Sorted Name Id]]:tblData[[#This Row],[Sorted Name Id]])-1)))</f>
        <v/>
      </c>
      <c r="BW74" s="6" t="str">
        <f>IF(ROWS(tblVisasSorted[[#Headers],[Id]]:tblVisasSorted[[#This Row],[Id]])-1&gt;$BW$11,"",SMALL(tblVisas[Id],ROWS(tblVisasSorted[[#Headers],[Id]]:tblVisasSorted[[#This Row],[Id]])-1))</f>
        <v/>
      </c>
      <c r="BY74" s="6" t="str">
        <f t="array" ref="BY74">IF(ROWS(tblData[[#Headers],[Sorted Arr Id]]:tblData[[#This Row],[Sorted Arr Id]])-1&gt;$BY$11,"",INDEX(tblData[Sorted Arr Id],SMALL(IF(LEN(TRIM(tblData[Surname]))*(tblData[Arr DateTime]&gt;0),ROW(tblData[Sorted Arr Id])-ROW(tblData[[#Headers],[Sorted Arr Id]])),ROWS(tblData[[#Headers],[Sorted Arr Id]]:tblData[[#This Row],[Sorted Arr Id]])-1)))</f>
        <v/>
      </c>
      <c r="CA74" s="6" t="str">
        <f>IF(ROWS(tblArrivalSorted[[#Headers],[Id]]:tblArrivalSorted[[#This Row],[Id]])-1&gt;$CA$11,"",SMALL(tblArrival[Id],ROWS(tblArrivalSorted[[#Headers],[Id]]:tblArrivalSorted[[#This Row],[Id]])-1))</f>
        <v/>
      </c>
      <c r="CC74" s="6" t="str">
        <f t="array" ref="CC74">IF(ROWS(tblData[[#Headers],[Sorted Dep Id]]:tblData[[#This Row],[Sorted Dep Id]])-1&gt;$CC$11,"",INDEX(tblData[Sorted Dep Id],SMALL(IF(LEN(TRIM(tblData[Surname]))*(tblData[Dep DateTime]&gt;0),ROW(tblData[Sorted Dep Id])-ROW(tblData[[#Headers],[Sorted Dep Id]])),ROWS(tblData[[#Headers],[Sorted Dep Id]]:tblData[[#This Row],[Sorted Dep Id]])-1)))</f>
        <v/>
      </c>
      <c r="CE74" s="6" t="str">
        <f>IF(ROWS(tblDepartureSorted[[#Headers],[Id]]:tblDepartureSorted[[#This Row],[Id]])-1&gt;$CE$11,"",SMALL(tblDeparture[Id],ROWS(tblDepartureSorted[[#Headers],[Id]]:tblDepartureSorted[[#This Row],[Id]])-1))</f>
        <v/>
      </c>
      <c r="CG74" s="6" t="str">
        <f t="array" ref="CG74">IF(ROWS(tblData[[#Headers],[Id]]:tblData[[#This Row],[Id]])-1&gt;$CG$11,"",INDEX(tblData[Id],SMALL(IF(LEN(TRIM(tblData[Surname])),ROW(tblData[Id])-ROW(tblData[[#Headers],[Id]])),ROWS(tblData[[#Headers],[Id]]:tblData[[#This Row],[Id]])-1)))</f>
        <v/>
      </c>
    </row>
    <row r="75" spans="1:85" s="6" customFormat="1">
      <c r="A75" s="14">
        <f>IF(ISNUMBER(tblData[[#This Row],[SubType2]]),tblData[[#This Row],[SubType2]]*10000+tblData[[#This Row],[No]],1000000+tblData[[#This Row],[No]])</f>
        <v>1000062</v>
      </c>
      <c r="B75" s="14">
        <f>IFERROR(tblData[[#This Row],[Surname Rang]]*1000+tblData[[#This Row],[Given Name Rang]]+tblData[[#This Row],[No]]/1000,"")</f>
        <v>6.2E-2</v>
      </c>
      <c r="C75" s="14">
        <f>IFERROR(tblData[[#This Row],[Arr DateTime Rang]]+tblData[[#This Row],[No]]/1000,"")</f>
        <v>110.062</v>
      </c>
      <c r="D75" s="14">
        <f>IFERROR(tblData[[#This Row],[Dep DateTime Rang]]+tblData[[#This Row],[No]]/1000,"")</f>
        <v>110.062</v>
      </c>
      <c r="E75" s="362">
        <f t="shared" si="1"/>
        <v>62</v>
      </c>
      <c r="F75" s="370"/>
      <c r="G75" s="331"/>
      <c r="H75" s="328"/>
      <c r="I75" s="329"/>
      <c r="J75" s="330"/>
      <c r="K75" s="369"/>
      <c r="L75" s="375"/>
      <c r="M75" s="331"/>
      <c r="N75" s="331"/>
      <c r="O75" s="331"/>
      <c r="P75" s="329"/>
      <c r="Q75" s="376"/>
      <c r="R75" s="383"/>
      <c r="S75" s="332"/>
      <c r="T75" s="331"/>
      <c r="U75" s="333"/>
      <c r="V75" s="333"/>
      <c r="W75" s="384"/>
      <c r="X75" s="383"/>
      <c r="Y75" s="332"/>
      <c r="Z75" s="331"/>
      <c r="AA75" s="331"/>
      <c r="AB75" s="333"/>
      <c r="AC75" s="384"/>
      <c r="AD75" s="375"/>
      <c r="AE75" s="369"/>
      <c r="AF75" s="397"/>
      <c r="AG75" s="328"/>
      <c r="AH75" s="328"/>
      <c r="AI75" s="328"/>
      <c r="AJ75" s="328"/>
      <c r="AK75" s="328"/>
      <c r="AL75" s="328"/>
      <c r="AM75" s="328"/>
      <c r="AN75" s="398"/>
      <c r="AO75" s="402" t="str">
        <f>IF(ISBLANK(tblData[[#This Row],[Surname]]),"",IF(tblData[[#This Row],[Bill Accred Fee]]=0,"NO","YES"))</f>
        <v/>
      </c>
      <c r="AP75" s="406">
        <f>IF(AND(NOT(ISBLANK(tblData[[#This Row],[Surname]])),COUNTA(tblData[[#This Row],[Day 1]:[Day 9]])=0),1,0)</f>
        <v>0</v>
      </c>
      <c r="AQ75" s="406">
        <f>IF(AND(NOT(ISBLANK(tblData[[#This Row],[Surname]])),tblData[[#This Row],[Position]]="Athlete"),1,0)</f>
        <v>0</v>
      </c>
      <c r="AR75" s="433">
        <f>EntryFee*tblData[[#This Row],[Entry Fee Billable]]</f>
        <v>0</v>
      </c>
      <c r="AS75" s="410" t="e">
        <f>IF(ISBLANK(SelectedCategory),"No Cat!",IF(ISBLANK($F75),0,IFERROR(VLOOKUP(AS$12&amp;", "&amp;tblData[[#This Row],[Day 1]],tblAccommodationCosts[],5,FALSE),0)+IFERROR(VLOOKUP(AS$12&amp;", "&amp;tblData[[#This Row],[Day 2]],tblAccommodationCosts[],5,FALSE),0)+IFERROR(VLOOKUP(AS$12&amp;", "&amp;tblData[[#This Row],[Day 3]],tblAccommodationCosts[],5,FALSE),0)+IFERROR(VLOOKUP(AS$12&amp;", "&amp;tblData[[#This Row],[Day 4]],tblAccommodationCosts[],5,FALSE),0)+IFERROR(VLOOKUP(AS$12&amp;", "&amp;tblData[[#This Row],[Day 5]],tblAccommodationCosts[],5,FALSE),0)+IFERROR(VLOOKUP(AS$12&amp;", "&amp;tblData[[#This Row],[Day 6]],tblAccommodationCosts[],5,FALSE),0)+IFERROR(VLOOKUP(AS$12&amp;", "&amp;tblData[[#This Row],[Day 7]],tblAccommodationCosts[],5,FALSE),0)+IFERROR(VLOOKUP(AS$12&amp;", "&amp;tblData[[#This Row],[Day 8]],tblAccommodationCosts[],5,FALSE),0)+IFERROR(VLOOKUP(AS$12&amp;", "&amp;tblData[[#This Row],[Day 9]],tblAccommodationCosts[],5,FALSE),0)+AccreditationFee*tblData[[#This Row],[Bill Accred Fee]]))+tblData[[#This Row],[Entry Fee]]</f>
        <v>#VALUE!</v>
      </c>
      <c r="AT75" s="324" t="str">
        <f>IFERROR(VLOOKUP(tblData[[#This Row],[Weight Category, Function, and Gender]],tblWeightOrFunction[],3,0),"")</f>
        <v/>
      </c>
      <c r="AU75" s="84" t="str">
        <f>IFERROR(VLOOKUP(tblData[[#This Row],[Weight Category, Function, and Gender]],tblWeightOrFunction[],4,0),"")</f>
        <v/>
      </c>
      <c r="AV75" s="85" t="str">
        <f>IFERROR(VLOOKUP(tblData[[#This Row],[Weight Category, Function, and Gender]],tblWeightOrFunction[],7,0),"")</f>
        <v/>
      </c>
      <c r="AW75" s="84" t="str">
        <f>IFERROR(VLOOKUP(tblData[[#This Row],[Weight Category, Function, and Gender]],tblWeightOrFunction[],6,0),"")</f>
        <v/>
      </c>
      <c r="AX75" s="84" t="str">
        <f>IFERROR(VLOOKUP(tblData[[#This Row],[Weight Category, Function, and Gender]],tblWeightOrFunction[],2,0),"")</f>
        <v/>
      </c>
      <c r="AY75" s="75">
        <f>tblData[[#This Row],[Arr Date]]+tblData[[#This Row],[Arr Time]]</f>
        <v>0</v>
      </c>
      <c r="AZ75" s="75">
        <f>tblData[[#This Row],[Dep Date]]+tblData[[#This Row],[Dep Time]]</f>
        <v>0</v>
      </c>
      <c r="BA75" s="72">
        <f>COUNTIF(tblData[Surname],"&lt;="&amp;tblData[Surname])</f>
        <v>0</v>
      </c>
      <c r="BB75" s="72">
        <f>COUNTIF(tblData[Given name],"&lt;="&amp;tblData[Given name])</f>
        <v>0</v>
      </c>
      <c r="BC75" s="72">
        <f>COUNTIF(tblData[Arr DateTime],"&lt;="&amp;tblData[Arr DateTime])</f>
        <v>110</v>
      </c>
      <c r="BD75" s="72">
        <f>COUNTIF(tblData[Dep DateTime],"&lt;="&amp;tblData[Dep DateTime])</f>
        <v>110</v>
      </c>
      <c r="BE75" s="72">
        <f>COUNTIF(tblData[ShuttleAtDeparture],"&lt;="&amp;tblData[ShuttleAtDeparture])</f>
        <v>0</v>
      </c>
      <c r="BI75" s="6" t="str">
        <f t="array" ref="BI75">IF(ROWS(tblData[[#Headers],[Id]]:tblData[[#This Row],[Id]])-1&gt;$BI$11,"",INDEX(tblData[Id],SMALL(IF(LEN(TRIM(tblData[Surname]))*((tblData[Type]=$BI$9)+(tblData[Type]=$BI$10)),ROW(tblData[Id])-ROW(tblData[[#Headers],[Id]])),ROWS(tblData[[#Headers],[Id]]:tblData[[#This Row],[Id]])-1)))</f>
        <v/>
      </c>
      <c r="BK75" s="6" t="str">
        <f>IF(ROWS(tblCoachesAndOfficialsSorted[[#Headers],[Id]]:tblCoachesAndOfficialsSorted[[#This Row],[Id]])-1&gt;$BK$11,"",SMALL(tblCoachesAndOfficials[Id],ROWS(tblCoachesAndOfficialsSorted[[#Headers],[Id]]:tblCoachesAndOfficialsSorted[[#This Row],[Id]])-1))</f>
        <v/>
      </c>
      <c r="BM75" s="6" t="str">
        <f t="array" ref="BM75">IF(ROWS(tblData[[#Headers],[Id]]:tblData[[#This Row],[Id]])-1&gt;$BM$11,"",INDEX(tblData[Id],SMALL(IF(LEN(TRIM(tblData[Surname]))*(tblData[Type]=$BM$9),ROW(tblData[Id])-ROW(tblData[[#Headers],[Id]])),ROWS(tblData[[#Headers],[Id]]:tblData[[#This Row],[Id]])-1)))</f>
        <v/>
      </c>
      <c r="BO75" s="6" t="str">
        <f>IF(ROWS(tblWomenSorted[[#Headers],[Id]]:tblWomenSorted[[#This Row],[Id]])-1&gt;$BO$11,"",SMALL(tblWomen[Id],ROWS(tblWomenSorted[[#Headers],[Id]]:tblWomenSorted[[#This Row],[Id]])-1))</f>
        <v/>
      </c>
      <c r="BP75" s="17"/>
      <c r="BQ75" s="6" t="str">
        <f t="array" ref="BQ75">IF(ROWS(tblData[[#Headers],[Id]]:tblData[[#This Row],[Id]])-1&gt;$BQ$11,"",INDEX(tblData[Id],SMALL(IF(LEN(TRIM(tblData[Surname]))*(tblData[Type]=$BQ$9),ROW(tblData[Id])-ROW(tblData[[#Headers],[Id]])),ROWS(tblData[[#Headers],[Id]]:tblData[[#This Row],[Id]])-1)))</f>
        <v/>
      </c>
      <c r="BS75" s="6" t="str">
        <f>IF(ROWS(tblMenSorted[[#Headers],[Id]]:tblMenSorted[[#This Row],[Id]])-1&gt;$BS$11,"",SMALL(tblMen[Id],ROWS(tblMenSorted[[#Headers],[Id]]:tblMenSorted[[#This Row],[Id]])-1))</f>
        <v/>
      </c>
      <c r="BU75" s="6" t="str">
        <f t="array" ref="BU75">IF(ROWS(tblData[[#Headers],[Sorted Name Id]]:tblData[[#This Row],[Sorted Name Id]])-1&gt;$BU$11,"",INDEX(tblData[Sorted Name Id],SMALL(IF(LEN(TRIM(tblData[Surname]))*(tblData[Visa required]="YES"),ROW(tblData[Sorted Name Id])-ROW(tblData[[#Headers],[Sorted Name Id]])),ROWS(tblData[[#Headers],[Sorted Name Id]]:tblData[[#This Row],[Sorted Name Id]])-1)))</f>
        <v/>
      </c>
      <c r="BW75" s="6" t="str">
        <f>IF(ROWS(tblVisasSorted[[#Headers],[Id]]:tblVisasSorted[[#This Row],[Id]])-1&gt;$BW$11,"",SMALL(tblVisas[Id],ROWS(tblVisasSorted[[#Headers],[Id]]:tblVisasSorted[[#This Row],[Id]])-1))</f>
        <v/>
      </c>
      <c r="BY75" s="6" t="str">
        <f t="array" ref="BY75">IF(ROWS(tblData[[#Headers],[Sorted Arr Id]]:tblData[[#This Row],[Sorted Arr Id]])-1&gt;$BY$11,"",INDEX(tblData[Sorted Arr Id],SMALL(IF(LEN(TRIM(tblData[Surname]))*(tblData[Arr DateTime]&gt;0),ROW(tblData[Sorted Arr Id])-ROW(tblData[[#Headers],[Sorted Arr Id]])),ROWS(tblData[[#Headers],[Sorted Arr Id]]:tblData[[#This Row],[Sorted Arr Id]])-1)))</f>
        <v/>
      </c>
      <c r="CA75" s="6" t="str">
        <f>IF(ROWS(tblArrivalSorted[[#Headers],[Id]]:tblArrivalSorted[[#This Row],[Id]])-1&gt;$CA$11,"",SMALL(tblArrival[Id],ROWS(tblArrivalSorted[[#Headers],[Id]]:tblArrivalSorted[[#This Row],[Id]])-1))</f>
        <v/>
      </c>
      <c r="CC75" s="6" t="str">
        <f t="array" ref="CC75">IF(ROWS(tblData[[#Headers],[Sorted Dep Id]]:tblData[[#This Row],[Sorted Dep Id]])-1&gt;$CC$11,"",INDEX(tblData[Sorted Dep Id],SMALL(IF(LEN(TRIM(tblData[Surname]))*(tblData[Dep DateTime]&gt;0),ROW(tblData[Sorted Dep Id])-ROW(tblData[[#Headers],[Sorted Dep Id]])),ROWS(tblData[[#Headers],[Sorted Dep Id]]:tblData[[#This Row],[Sorted Dep Id]])-1)))</f>
        <v/>
      </c>
      <c r="CE75" s="6" t="str">
        <f>IF(ROWS(tblDepartureSorted[[#Headers],[Id]]:tblDepartureSorted[[#This Row],[Id]])-1&gt;$CE$11,"",SMALL(tblDeparture[Id],ROWS(tblDepartureSorted[[#Headers],[Id]]:tblDepartureSorted[[#This Row],[Id]])-1))</f>
        <v/>
      </c>
      <c r="CG75" s="6" t="str">
        <f t="array" ref="CG75">IF(ROWS(tblData[[#Headers],[Id]]:tblData[[#This Row],[Id]])-1&gt;$CG$11,"",INDEX(tblData[Id],SMALL(IF(LEN(TRIM(tblData[Surname])),ROW(tblData[Id])-ROW(tblData[[#Headers],[Id]])),ROWS(tblData[[#Headers],[Id]]:tblData[[#This Row],[Id]])-1)))</f>
        <v/>
      </c>
    </row>
    <row r="76" spans="1:85" s="6" customFormat="1">
      <c r="A76" s="14">
        <f>IF(ISNUMBER(tblData[[#This Row],[SubType2]]),tblData[[#This Row],[SubType2]]*10000+tblData[[#This Row],[No]],1000000+tblData[[#This Row],[No]])</f>
        <v>1000063</v>
      </c>
      <c r="B76" s="14">
        <f>IFERROR(tblData[[#This Row],[Surname Rang]]*1000+tblData[[#This Row],[Given Name Rang]]+tblData[[#This Row],[No]]/1000,"")</f>
        <v>6.3E-2</v>
      </c>
      <c r="C76" s="14">
        <f>IFERROR(tblData[[#This Row],[Arr DateTime Rang]]+tblData[[#This Row],[No]]/1000,"")</f>
        <v>110.063</v>
      </c>
      <c r="D76" s="14">
        <f>IFERROR(tblData[[#This Row],[Dep DateTime Rang]]+tblData[[#This Row],[No]]/1000,"")</f>
        <v>110.063</v>
      </c>
      <c r="E76" s="362">
        <f t="shared" si="1"/>
        <v>63</v>
      </c>
      <c r="F76" s="370"/>
      <c r="G76" s="331"/>
      <c r="H76" s="328"/>
      <c r="I76" s="329"/>
      <c r="J76" s="330"/>
      <c r="K76" s="369"/>
      <c r="L76" s="375"/>
      <c r="M76" s="331"/>
      <c r="N76" s="331"/>
      <c r="O76" s="331"/>
      <c r="P76" s="329"/>
      <c r="Q76" s="376"/>
      <c r="R76" s="383"/>
      <c r="S76" s="332"/>
      <c r="T76" s="331"/>
      <c r="U76" s="333"/>
      <c r="V76" s="333"/>
      <c r="W76" s="384"/>
      <c r="X76" s="383"/>
      <c r="Y76" s="332"/>
      <c r="Z76" s="331"/>
      <c r="AA76" s="331"/>
      <c r="AB76" s="333"/>
      <c r="AC76" s="384"/>
      <c r="AD76" s="375"/>
      <c r="AE76" s="369"/>
      <c r="AF76" s="397"/>
      <c r="AG76" s="328"/>
      <c r="AH76" s="328"/>
      <c r="AI76" s="328"/>
      <c r="AJ76" s="328"/>
      <c r="AK76" s="328"/>
      <c r="AL76" s="328"/>
      <c r="AM76" s="328"/>
      <c r="AN76" s="398"/>
      <c r="AO76" s="402" t="str">
        <f>IF(ISBLANK(tblData[[#This Row],[Surname]]),"",IF(tblData[[#This Row],[Bill Accred Fee]]=0,"NO","YES"))</f>
        <v/>
      </c>
      <c r="AP76" s="406">
        <f>IF(AND(NOT(ISBLANK(tblData[[#This Row],[Surname]])),COUNTA(tblData[[#This Row],[Day 1]:[Day 9]])=0),1,0)</f>
        <v>0</v>
      </c>
      <c r="AQ76" s="406">
        <f>IF(AND(NOT(ISBLANK(tblData[[#This Row],[Surname]])),tblData[[#This Row],[Position]]="Athlete"),1,0)</f>
        <v>0</v>
      </c>
      <c r="AR76" s="433">
        <f>EntryFee*tblData[[#This Row],[Entry Fee Billable]]</f>
        <v>0</v>
      </c>
      <c r="AS76" s="410" t="e">
        <f>IF(ISBLANK(SelectedCategory),"No Cat!",IF(ISBLANK($F76),0,IFERROR(VLOOKUP(AS$12&amp;", "&amp;tblData[[#This Row],[Day 1]],tblAccommodationCosts[],5,FALSE),0)+IFERROR(VLOOKUP(AS$12&amp;", "&amp;tblData[[#This Row],[Day 2]],tblAccommodationCosts[],5,FALSE),0)+IFERROR(VLOOKUP(AS$12&amp;", "&amp;tblData[[#This Row],[Day 3]],tblAccommodationCosts[],5,FALSE),0)+IFERROR(VLOOKUP(AS$12&amp;", "&amp;tblData[[#This Row],[Day 4]],tblAccommodationCosts[],5,FALSE),0)+IFERROR(VLOOKUP(AS$12&amp;", "&amp;tblData[[#This Row],[Day 5]],tblAccommodationCosts[],5,FALSE),0)+IFERROR(VLOOKUP(AS$12&amp;", "&amp;tblData[[#This Row],[Day 6]],tblAccommodationCosts[],5,FALSE),0)+IFERROR(VLOOKUP(AS$12&amp;", "&amp;tblData[[#This Row],[Day 7]],tblAccommodationCosts[],5,FALSE),0)+IFERROR(VLOOKUP(AS$12&amp;", "&amp;tblData[[#This Row],[Day 8]],tblAccommodationCosts[],5,FALSE),0)+IFERROR(VLOOKUP(AS$12&amp;", "&amp;tblData[[#This Row],[Day 9]],tblAccommodationCosts[],5,FALSE),0)+AccreditationFee*tblData[[#This Row],[Bill Accred Fee]]))+tblData[[#This Row],[Entry Fee]]</f>
        <v>#VALUE!</v>
      </c>
      <c r="AT76" s="324" t="str">
        <f>IFERROR(VLOOKUP(tblData[[#This Row],[Weight Category, Function, and Gender]],tblWeightOrFunction[],3,0),"")</f>
        <v/>
      </c>
      <c r="AU76" s="84" t="str">
        <f>IFERROR(VLOOKUP(tblData[[#This Row],[Weight Category, Function, and Gender]],tblWeightOrFunction[],4,0),"")</f>
        <v/>
      </c>
      <c r="AV76" s="85" t="str">
        <f>IFERROR(VLOOKUP(tblData[[#This Row],[Weight Category, Function, and Gender]],tblWeightOrFunction[],7,0),"")</f>
        <v/>
      </c>
      <c r="AW76" s="84" t="str">
        <f>IFERROR(VLOOKUP(tblData[[#This Row],[Weight Category, Function, and Gender]],tblWeightOrFunction[],6,0),"")</f>
        <v/>
      </c>
      <c r="AX76" s="84" t="str">
        <f>IFERROR(VLOOKUP(tblData[[#This Row],[Weight Category, Function, and Gender]],tblWeightOrFunction[],2,0),"")</f>
        <v/>
      </c>
      <c r="AY76" s="75">
        <f>tblData[[#This Row],[Arr Date]]+tblData[[#This Row],[Arr Time]]</f>
        <v>0</v>
      </c>
      <c r="AZ76" s="75">
        <f>tblData[[#This Row],[Dep Date]]+tblData[[#This Row],[Dep Time]]</f>
        <v>0</v>
      </c>
      <c r="BA76" s="72">
        <f>COUNTIF(tblData[Surname],"&lt;="&amp;tblData[Surname])</f>
        <v>0</v>
      </c>
      <c r="BB76" s="72">
        <f>COUNTIF(tblData[Given name],"&lt;="&amp;tblData[Given name])</f>
        <v>0</v>
      </c>
      <c r="BC76" s="72">
        <f>COUNTIF(tblData[Arr DateTime],"&lt;="&amp;tblData[Arr DateTime])</f>
        <v>110</v>
      </c>
      <c r="BD76" s="72">
        <f>COUNTIF(tblData[Dep DateTime],"&lt;="&amp;tblData[Dep DateTime])</f>
        <v>110</v>
      </c>
      <c r="BE76" s="72">
        <f>COUNTIF(tblData[ShuttleAtDeparture],"&lt;="&amp;tblData[ShuttleAtDeparture])</f>
        <v>0</v>
      </c>
      <c r="BI76" s="6" t="str">
        <f t="array" ref="BI76">IF(ROWS(tblData[[#Headers],[Id]]:tblData[[#This Row],[Id]])-1&gt;$BI$11,"",INDEX(tblData[Id],SMALL(IF(LEN(TRIM(tblData[Surname]))*((tblData[Type]=$BI$9)+(tblData[Type]=$BI$10)),ROW(tblData[Id])-ROW(tblData[[#Headers],[Id]])),ROWS(tblData[[#Headers],[Id]]:tblData[[#This Row],[Id]])-1)))</f>
        <v/>
      </c>
      <c r="BK76" s="6" t="str">
        <f>IF(ROWS(tblCoachesAndOfficialsSorted[[#Headers],[Id]]:tblCoachesAndOfficialsSorted[[#This Row],[Id]])-1&gt;$BK$11,"",SMALL(tblCoachesAndOfficials[Id],ROWS(tblCoachesAndOfficialsSorted[[#Headers],[Id]]:tblCoachesAndOfficialsSorted[[#This Row],[Id]])-1))</f>
        <v/>
      </c>
      <c r="BM76" s="6" t="str">
        <f t="array" ref="BM76">IF(ROWS(tblData[[#Headers],[Id]]:tblData[[#This Row],[Id]])-1&gt;$BM$11,"",INDEX(tblData[Id],SMALL(IF(LEN(TRIM(tblData[Surname]))*(tblData[Type]=$BM$9),ROW(tblData[Id])-ROW(tblData[[#Headers],[Id]])),ROWS(tblData[[#Headers],[Id]]:tblData[[#This Row],[Id]])-1)))</f>
        <v/>
      </c>
      <c r="BO76" s="6" t="str">
        <f>IF(ROWS(tblWomenSorted[[#Headers],[Id]]:tblWomenSorted[[#This Row],[Id]])-1&gt;$BO$11,"",SMALL(tblWomen[Id],ROWS(tblWomenSorted[[#Headers],[Id]]:tblWomenSorted[[#This Row],[Id]])-1))</f>
        <v/>
      </c>
      <c r="BP76" s="17"/>
      <c r="BQ76" s="6" t="str">
        <f t="array" ref="BQ76">IF(ROWS(tblData[[#Headers],[Id]]:tblData[[#This Row],[Id]])-1&gt;$BQ$11,"",INDEX(tblData[Id],SMALL(IF(LEN(TRIM(tblData[Surname]))*(tblData[Type]=$BQ$9),ROW(tblData[Id])-ROW(tblData[[#Headers],[Id]])),ROWS(tblData[[#Headers],[Id]]:tblData[[#This Row],[Id]])-1)))</f>
        <v/>
      </c>
      <c r="BS76" s="6" t="str">
        <f>IF(ROWS(tblMenSorted[[#Headers],[Id]]:tblMenSorted[[#This Row],[Id]])-1&gt;$BS$11,"",SMALL(tblMen[Id],ROWS(tblMenSorted[[#Headers],[Id]]:tblMenSorted[[#This Row],[Id]])-1))</f>
        <v/>
      </c>
      <c r="BU76" s="6" t="str">
        <f t="array" ref="BU76">IF(ROWS(tblData[[#Headers],[Sorted Name Id]]:tblData[[#This Row],[Sorted Name Id]])-1&gt;$BU$11,"",INDEX(tblData[Sorted Name Id],SMALL(IF(LEN(TRIM(tblData[Surname]))*(tblData[Visa required]="YES"),ROW(tblData[Sorted Name Id])-ROW(tblData[[#Headers],[Sorted Name Id]])),ROWS(tblData[[#Headers],[Sorted Name Id]]:tblData[[#This Row],[Sorted Name Id]])-1)))</f>
        <v/>
      </c>
      <c r="BW76" s="6" t="str">
        <f>IF(ROWS(tblVisasSorted[[#Headers],[Id]]:tblVisasSorted[[#This Row],[Id]])-1&gt;$BW$11,"",SMALL(tblVisas[Id],ROWS(tblVisasSorted[[#Headers],[Id]]:tblVisasSorted[[#This Row],[Id]])-1))</f>
        <v/>
      </c>
      <c r="BY76" s="6" t="str">
        <f t="array" ref="BY76">IF(ROWS(tblData[[#Headers],[Sorted Arr Id]]:tblData[[#This Row],[Sorted Arr Id]])-1&gt;$BY$11,"",INDEX(tblData[Sorted Arr Id],SMALL(IF(LEN(TRIM(tblData[Surname]))*(tblData[Arr DateTime]&gt;0),ROW(tblData[Sorted Arr Id])-ROW(tblData[[#Headers],[Sorted Arr Id]])),ROWS(tblData[[#Headers],[Sorted Arr Id]]:tblData[[#This Row],[Sorted Arr Id]])-1)))</f>
        <v/>
      </c>
      <c r="CA76" s="6" t="str">
        <f>IF(ROWS(tblArrivalSorted[[#Headers],[Id]]:tblArrivalSorted[[#This Row],[Id]])-1&gt;$CA$11,"",SMALL(tblArrival[Id],ROWS(tblArrivalSorted[[#Headers],[Id]]:tblArrivalSorted[[#This Row],[Id]])-1))</f>
        <v/>
      </c>
      <c r="CC76" s="6" t="str">
        <f t="array" ref="CC76">IF(ROWS(tblData[[#Headers],[Sorted Dep Id]]:tblData[[#This Row],[Sorted Dep Id]])-1&gt;$CC$11,"",INDEX(tblData[Sorted Dep Id],SMALL(IF(LEN(TRIM(tblData[Surname]))*(tblData[Dep DateTime]&gt;0),ROW(tblData[Sorted Dep Id])-ROW(tblData[[#Headers],[Sorted Dep Id]])),ROWS(tblData[[#Headers],[Sorted Dep Id]]:tblData[[#This Row],[Sorted Dep Id]])-1)))</f>
        <v/>
      </c>
      <c r="CE76" s="6" t="str">
        <f>IF(ROWS(tblDepartureSorted[[#Headers],[Id]]:tblDepartureSorted[[#This Row],[Id]])-1&gt;$CE$11,"",SMALL(tblDeparture[Id],ROWS(tblDepartureSorted[[#Headers],[Id]]:tblDepartureSorted[[#This Row],[Id]])-1))</f>
        <v/>
      </c>
      <c r="CG76" s="6" t="str">
        <f t="array" ref="CG76">IF(ROWS(tblData[[#Headers],[Id]]:tblData[[#This Row],[Id]])-1&gt;$CG$11,"",INDEX(tblData[Id],SMALL(IF(LEN(TRIM(tblData[Surname])),ROW(tblData[Id])-ROW(tblData[[#Headers],[Id]])),ROWS(tblData[[#Headers],[Id]]:tblData[[#This Row],[Id]])-1)))</f>
        <v/>
      </c>
    </row>
    <row r="77" spans="1:85" s="6" customFormat="1">
      <c r="A77" s="14">
        <f>IF(ISNUMBER(tblData[[#This Row],[SubType2]]),tblData[[#This Row],[SubType2]]*10000+tblData[[#This Row],[No]],1000000+tblData[[#This Row],[No]])</f>
        <v>1000064</v>
      </c>
      <c r="B77" s="14">
        <f>IFERROR(tblData[[#This Row],[Surname Rang]]*1000+tblData[[#This Row],[Given Name Rang]]+tblData[[#This Row],[No]]/1000,"")</f>
        <v>6.4000000000000001E-2</v>
      </c>
      <c r="C77" s="14">
        <f>IFERROR(tblData[[#This Row],[Arr DateTime Rang]]+tblData[[#This Row],[No]]/1000,"")</f>
        <v>110.06399999999999</v>
      </c>
      <c r="D77" s="14">
        <f>IFERROR(tblData[[#This Row],[Dep DateTime Rang]]+tblData[[#This Row],[No]]/1000,"")</f>
        <v>110.06399999999999</v>
      </c>
      <c r="E77" s="362">
        <f t="shared" si="1"/>
        <v>64</v>
      </c>
      <c r="F77" s="370"/>
      <c r="G77" s="331"/>
      <c r="H77" s="328"/>
      <c r="I77" s="329"/>
      <c r="J77" s="330"/>
      <c r="K77" s="369"/>
      <c r="L77" s="375"/>
      <c r="M77" s="331"/>
      <c r="N77" s="331"/>
      <c r="O77" s="331"/>
      <c r="P77" s="329"/>
      <c r="Q77" s="376"/>
      <c r="R77" s="383"/>
      <c r="S77" s="332"/>
      <c r="T77" s="331"/>
      <c r="U77" s="333"/>
      <c r="V77" s="333"/>
      <c r="W77" s="384"/>
      <c r="X77" s="383"/>
      <c r="Y77" s="332"/>
      <c r="Z77" s="331"/>
      <c r="AA77" s="331"/>
      <c r="AB77" s="333"/>
      <c r="AC77" s="384"/>
      <c r="AD77" s="375"/>
      <c r="AE77" s="369"/>
      <c r="AF77" s="397"/>
      <c r="AG77" s="328"/>
      <c r="AH77" s="328"/>
      <c r="AI77" s="328"/>
      <c r="AJ77" s="328"/>
      <c r="AK77" s="328"/>
      <c r="AL77" s="328"/>
      <c r="AM77" s="328"/>
      <c r="AN77" s="398"/>
      <c r="AO77" s="402" t="str">
        <f>IF(ISBLANK(tblData[[#This Row],[Surname]]),"",IF(tblData[[#This Row],[Bill Accred Fee]]=0,"NO","YES"))</f>
        <v/>
      </c>
      <c r="AP77" s="406">
        <f>IF(AND(NOT(ISBLANK(tblData[[#This Row],[Surname]])),COUNTA(tblData[[#This Row],[Day 1]:[Day 9]])=0),1,0)</f>
        <v>0</v>
      </c>
      <c r="AQ77" s="406">
        <f>IF(AND(NOT(ISBLANK(tblData[[#This Row],[Surname]])),tblData[[#This Row],[Position]]="Athlete"),1,0)</f>
        <v>0</v>
      </c>
      <c r="AR77" s="433">
        <f>EntryFee*tblData[[#This Row],[Entry Fee Billable]]</f>
        <v>0</v>
      </c>
      <c r="AS77" s="410" t="e">
        <f>IF(ISBLANK(SelectedCategory),"No Cat!",IF(ISBLANK($F77),0,IFERROR(VLOOKUP(AS$12&amp;", "&amp;tblData[[#This Row],[Day 1]],tblAccommodationCosts[],5,FALSE),0)+IFERROR(VLOOKUP(AS$12&amp;", "&amp;tblData[[#This Row],[Day 2]],tblAccommodationCosts[],5,FALSE),0)+IFERROR(VLOOKUP(AS$12&amp;", "&amp;tblData[[#This Row],[Day 3]],tblAccommodationCosts[],5,FALSE),0)+IFERROR(VLOOKUP(AS$12&amp;", "&amp;tblData[[#This Row],[Day 4]],tblAccommodationCosts[],5,FALSE),0)+IFERROR(VLOOKUP(AS$12&amp;", "&amp;tblData[[#This Row],[Day 5]],tblAccommodationCosts[],5,FALSE),0)+IFERROR(VLOOKUP(AS$12&amp;", "&amp;tblData[[#This Row],[Day 6]],tblAccommodationCosts[],5,FALSE),0)+IFERROR(VLOOKUP(AS$12&amp;", "&amp;tblData[[#This Row],[Day 7]],tblAccommodationCosts[],5,FALSE),0)+IFERROR(VLOOKUP(AS$12&amp;", "&amp;tblData[[#This Row],[Day 8]],tblAccommodationCosts[],5,FALSE),0)+IFERROR(VLOOKUP(AS$12&amp;", "&amp;tblData[[#This Row],[Day 9]],tblAccommodationCosts[],5,FALSE),0)+AccreditationFee*tblData[[#This Row],[Bill Accred Fee]]))+tblData[[#This Row],[Entry Fee]]</f>
        <v>#VALUE!</v>
      </c>
      <c r="AT77" s="324" t="str">
        <f>IFERROR(VLOOKUP(tblData[[#This Row],[Weight Category, Function, and Gender]],tblWeightOrFunction[],3,0),"")</f>
        <v/>
      </c>
      <c r="AU77" s="84" t="str">
        <f>IFERROR(VLOOKUP(tblData[[#This Row],[Weight Category, Function, and Gender]],tblWeightOrFunction[],4,0),"")</f>
        <v/>
      </c>
      <c r="AV77" s="85" t="str">
        <f>IFERROR(VLOOKUP(tblData[[#This Row],[Weight Category, Function, and Gender]],tblWeightOrFunction[],7,0),"")</f>
        <v/>
      </c>
      <c r="AW77" s="84" t="str">
        <f>IFERROR(VLOOKUP(tblData[[#This Row],[Weight Category, Function, and Gender]],tblWeightOrFunction[],6,0),"")</f>
        <v/>
      </c>
      <c r="AX77" s="84" t="str">
        <f>IFERROR(VLOOKUP(tblData[[#This Row],[Weight Category, Function, and Gender]],tblWeightOrFunction[],2,0),"")</f>
        <v/>
      </c>
      <c r="AY77" s="75">
        <f>tblData[[#This Row],[Arr Date]]+tblData[[#This Row],[Arr Time]]</f>
        <v>0</v>
      </c>
      <c r="AZ77" s="75">
        <f>tblData[[#This Row],[Dep Date]]+tblData[[#This Row],[Dep Time]]</f>
        <v>0</v>
      </c>
      <c r="BA77" s="72">
        <f>COUNTIF(tblData[Surname],"&lt;="&amp;tblData[Surname])</f>
        <v>0</v>
      </c>
      <c r="BB77" s="72">
        <f>COUNTIF(tblData[Given name],"&lt;="&amp;tblData[Given name])</f>
        <v>0</v>
      </c>
      <c r="BC77" s="72">
        <f>COUNTIF(tblData[Arr DateTime],"&lt;="&amp;tblData[Arr DateTime])</f>
        <v>110</v>
      </c>
      <c r="BD77" s="72">
        <f>COUNTIF(tblData[Dep DateTime],"&lt;="&amp;tblData[Dep DateTime])</f>
        <v>110</v>
      </c>
      <c r="BE77" s="72">
        <f>COUNTIF(tblData[ShuttleAtDeparture],"&lt;="&amp;tblData[ShuttleAtDeparture])</f>
        <v>0</v>
      </c>
      <c r="BI77" s="6" t="str">
        <f t="array" ref="BI77">IF(ROWS(tblData[[#Headers],[Id]]:tblData[[#This Row],[Id]])-1&gt;$BI$11,"",INDEX(tblData[Id],SMALL(IF(LEN(TRIM(tblData[Surname]))*((tblData[Type]=$BI$9)+(tblData[Type]=$BI$10)),ROW(tblData[Id])-ROW(tblData[[#Headers],[Id]])),ROWS(tblData[[#Headers],[Id]]:tblData[[#This Row],[Id]])-1)))</f>
        <v/>
      </c>
      <c r="BK77" s="6" t="str">
        <f>IF(ROWS(tblCoachesAndOfficialsSorted[[#Headers],[Id]]:tblCoachesAndOfficialsSorted[[#This Row],[Id]])-1&gt;$BK$11,"",SMALL(tblCoachesAndOfficials[Id],ROWS(tblCoachesAndOfficialsSorted[[#Headers],[Id]]:tblCoachesAndOfficialsSorted[[#This Row],[Id]])-1))</f>
        <v/>
      </c>
      <c r="BM77" s="6" t="str">
        <f t="array" ref="BM77">IF(ROWS(tblData[[#Headers],[Id]]:tblData[[#This Row],[Id]])-1&gt;$BM$11,"",INDEX(tblData[Id],SMALL(IF(LEN(TRIM(tblData[Surname]))*(tblData[Type]=$BM$9),ROW(tblData[Id])-ROW(tblData[[#Headers],[Id]])),ROWS(tblData[[#Headers],[Id]]:tblData[[#This Row],[Id]])-1)))</f>
        <v/>
      </c>
      <c r="BO77" s="6" t="str">
        <f>IF(ROWS(tblWomenSorted[[#Headers],[Id]]:tblWomenSorted[[#This Row],[Id]])-1&gt;$BO$11,"",SMALL(tblWomen[Id],ROWS(tblWomenSorted[[#Headers],[Id]]:tblWomenSorted[[#This Row],[Id]])-1))</f>
        <v/>
      </c>
      <c r="BP77" s="17"/>
      <c r="BQ77" s="6" t="str">
        <f t="array" ref="BQ77">IF(ROWS(tblData[[#Headers],[Id]]:tblData[[#This Row],[Id]])-1&gt;$BQ$11,"",INDEX(tblData[Id],SMALL(IF(LEN(TRIM(tblData[Surname]))*(tblData[Type]=$BQ$9),ROW(tblData[Id])-ROW(tblData[[#Headers],[Id]])),ROWS(tblData[[#Headers],[Id]]:tblData[[#This Row],[Id]])-1)))</f>
        <v/>
      </c>
      <c r="BS77" s="6" t="str">
        <f>IF(ROWS(tblMenSorted[[#Headers],[Id]]:tblMenSorted[[#This Row],[Id]])-1&gt;$BS$11,"",SMALL(tblMen[Id],ROWS(tblMenSorted[[#Headers],[Id]]:tblMenSorted[[#This Row],[Id]])-1))</f>
        <v/>
      </c>
      <c r="BU77" s="6" t="str">
        <f t="array" ref="BU77">IF(ROWS(tblData[[#Headers],[Sorted Name Id]]:tblData[[#This Row],[Sorted Name Id]])-1&gt;$BU$11,"",INDEX(tblData[Sorted Name Id],SMALL(IF(LEN(TRIM(tblData[Surname]))*(tblData[Visa required]="YES"),ROW(tblData[Sorted Name Id])-ROW(tblData[[#Headers],[Sorted Name Id]])),ROWS(tblData[[#Headers],[Sorted Name Id]]:tblData[[#This Row],[Sorted Name Id]])-1)))</f>
        <v/>
      </c>
      <c r="BW77" s="6" t="str">
        <f>IF(ROWS(tblVisasSorted[[#Headers],[Id]]:tblVisasSorted[[#This Row],[Id]])-1&gt;$BW$11,"",SMALL(tblVisas[Id],ROWS(tblVisasSorted[[#Headers],[Id]]:tblVisasSorted[[#This Row],[Id]])-1))</f>
        <v/>
      </c>
      <c r="BY77" s="6" t="str">
        <f t="array" ref="BY77">IF(ROWS(tblData[[#Headers],[Sorted Arr Id]]:tblData[[#This Row],[Sorted Arr Id]])-1&gt;$BY$11,"",INDEX(tblData[Sorted Arr Id],SMALL(IF(LEN(TRIM(tblData[Surname]))*(tblData[Arr DateTime]&gt;0),ROW(tblData[Sorted Arr Id])-ROW(tblData[[#Headers],[Sorted Arr Id]])),ROWS(tblData[[#Headers],[Sorted Arr Id]]:tblData[[#This Row],[Sorted Arr Id]])-1)))</f>
        <v/>
      </c>
      <c r="CA77" s="6" t="str">
        <f>IF(ROWS(tblArrivalSorted[[#Headers],[Id]]:tblArrivalSorted[[#This Row],[Id]])-1&gt;$CA$11,"",SMALL(tblArrival[Id],ROWS(tblArrivalSorted[[#Headers],[Id]]:tblArrivalSorted[[#This Row],[Id]])-1))</f>
        <v/>
      </c>
      <c r="CC77" s="6" t="str">
        <f t="array" ref="CC77">IF(ROWS(tblData[[#Headers],[Sorted Dep Id]]:tblData[[#This Row],[Sorted Dep Id]])-1&gt;$CC$11,"",INDEX(tblData[Sorted Dep Id],SMALL(IF(LEN(TRIM(tblData[Surname]))*(tblData[Dep DateTime]&gt;0),ROW(tblData[Sorted Dep Id])-ROW(tblData[[#Headers],[Sorted Dep Id]])),ROWS(tblData[[#Headers],[Sorted Dep Id]]:tblData[[#This Row],[Sorted Dep Id]])-1)))</f>
        <v/>
      </c>
      <c r="CE77" s="6" t="str">
        <f>IF(ROWS(tblDepartureSorted[[#Headers],[Id]]:tblDepartureSorted[[#This Row],[Id]])-1&gt;$CE$11,"",SMALL(tblDeparture[Id],ROWS(tblDepartureSorted[[#Headers],[Id]]:tblDepartureSorted[[#This Row],[Id]])-1))</f>
        <v/>
      </c>
      <c r="CG77" s="6" t="str">
        <f t="array" ref="CG77">IF(ROWS(tblData[[#Headers],[Id]]:tblData[[#This Row],[Id]])-1&gt;$CG$11,"",INDEX(tblData[Id],SMALL(IF(LEN(TRIM(tblData[Surname])),ROW(tblData[Id])-ROW(tblData[[#Headers],[Id]])),ROWS(tblData[[#Headers],[Id]]:tblData[[#This Row],[Id]])-1)))</f>
        <v/>
      </c>
    </row>
    <row r="78" spans="1:85" s="6" customFormat="1">
      <c r="A78" s="14">
        <f>IF(ISNUMBER(tblData[[#This Row],[SubType2]]),tblData[[#This Row],[SubType2]]*10000+tblData[[#This Row],[No]],1000000+tblData[[#This Row],[No]])</f>
        <v>1000065</v>
      </c>
      <c r="B78" s="14">
        <f>IFERROR(tblData[[#This Row],[Surname Rang]]*1000+tblData[[#This Row],[Given Name Rang]]+tblData[[#This Row],[No]]/1000,"")</f>
        <v>6.5000000000000002E-2</v>
      </c>
      <c r="C78" s="14">
        <f>IFERROR(tblData[[#This Row],[Arr DateTime Rang]]+tblData[[#This Row],[No]]/1000,"")</f>
        <v>110.065</v>
      </c>
      <c r="D78" s="14">
        <f>IFERROR(tblData[[#This Row],[Dep DateTime Rang]]+tblData[[#This Row],[No]]/1000,"")</f>
        <v>110.065</v>
      </c>
      <c r="E78" s="362">
        <f t="shared" si="1"/>
        <v>65</v>
      </c>
      <c r="F78" s="370"/>
      <c r="G78" s="331"/>
      <c r="H78" s="328"/>
      <c r="I78" s="329"/>
      <c r="J78" s="330"/>
      <c r="K78" s="369"/>
      <c r="L78" s="375"/>
      <c r="M78" s="331"/>
      <c r="N78" s="331"/>
      <c r="O78" s="331"/>
      <c r="P78" s="329"/>
      <c r="Q78" s="376"/>
      <c r="R78" s="383"/>
      <c r="S78" s="332"/>
      <c r="T78" s="331"/>
      <c r="U78" s="333"/>
      <c r="V78" s="333"/>
      <c r="W78" s="384"/>
      <c r="X78" s="383"/>
      <c r="Y78" s="332"/>
      <c r="Z78" s="331"/>
      <c r="AA78" s="331"/>
      <c r="AB78" s="333"/>
      <c r="AC78" s="384"/>
      <c r="AD78" s="375"/>
      <c r="AE78" s="369"/>
      <c r="AF78" s="397"/>
      <c r="AG78" s="328"/>
      <c r="AH78" s="328"/>
      <c r="AI78" s="328"/>
      <c r="AJ78" s="328"/>
      <c r="AK78" s="328"/>
      <c r="AL78" s="328"/>
      <c r="AM78" s="328"/>
      <c r="AN78" s="398"/>
      <c r="AO78" s="402" t="str">
        <f>IF(ISBLANK(tblData[[#This Row],[Surname]]),"",IF(tblData[[#This Row],[Bill Accred Fee]]=0,"NO","YES"))</f>
        <v/>
      </c>
      <c r="AP78" s="406">
        <f>IF(AND(NOT(ISBLANK(tblData[[#This Row],[Surname]])),COUNTA(tblData[[#This Row],[Day 1]:[Day 9]])=0),1,0)</f>
        <v>0</v>
      </c>
      <c r="AQ78" s="406">
        <f>IF(AND(NOT(ISBLANK(tblData[[#This Row],[Surname]])),tblData[[#This Row],[Position]]="Athlete"),1,0)</f>
        <v>0</v>
      </c>
      <c r="AR78" s="433">
        <f>EntryFee*tblData[[#This Row],[Entry Fee Billable]]</f>
        <v>0</v>
      </c>
      <c r="AS78" s="410" t="e">
        <f>IF(ISBLANK(SelectedCategory),"No Cat!",IF(ISBLANK($F78),0,IFERROR(VLOOKUP(AS$12&amp;", "&amp;tblData[[#This Row],[Day 1]],tblAccommodationCosts[],5,FALSE),0)+IFERROR(VLOOKUP(AS$12&amp;", "&amp;tblData[[#This Row],[Day 2]],tblAccommodationCosts[],5,FALSE),0)+IFERROR(VLOOKUP(AS$12&amp;", "&amp;tblData[[#This Row],[Day 3]],tblAccommodationCosts[],5,FALSE),0)+IFERROR(VLOOKUP(AS$12&amp;", "&amp;tblData[[#This Row],[Day 4]],tblAccommodationCosts[],5,FALSE),0)+IFERROR(VLOOKUP(AS$12&amp;", "&amp;tblData[[#This Row],[Day 5]],tblAccommodationCosts[],5,FALSE),0)+IFERROR(VLOOKUP(AS$12&amp;", "&amp;tblData[[#This Row],[Day 6]],tblAccommodationCosts[],5,FALSE),0)+IFERROR(VLOOKUP(AS$12&amp;", "&amp;tblData[[#This Row],[Day 7]],tblAccommodationCosts[],5,FALSE),0)+IFERROR(VLOOKUP(AS$12&amp;", "&amp;tblData[[#This Row],[Day 8]],tblAccommodationCosts[],5,FALSE),0)+IFERROR(VLOOKUP(AS$12&amp;", "&amp;tblData[[#This Row],[Day 9]],tblAccommodationCosts[],5,FALSE),0)+AccreditationFee*tblData[[#This Row],[Bill Accred Fee]]))+tblData[[#This Row],[Entry Fee]]</f>
        <v>#VALUE!</v>
      </c>
      <c r="AT78" s="324" t="str">
        <f>IFERROR(VLOOKUP(tblData[[#This Row],[Weight Category, Function, and Gender]],tblWeightOrFunction[],3,0),"")</f>
        <v/>
      </c>
      <c r="AU78" s="84" t="str">
        <f>IFERROR(VLOOKUP(tblData[[#This Row],[Weight Category, Function, and Gender]],tblWeightOrFunction[],4,0),"")</f>
        <v/>
      </c>
      <c r="AV78" s="85" t="str">
        <f>IFERROR(VLOOKUP(tblData[[#This Row],[Weight Category, Function, and Gender]],tblWeightOrFunction[],7,0),"")</f>
        <v/>
      </c>
      <c r="AW78" s="84" t="str">
        <f>IFERROR(VLOOKUP(tblData[[#This Row],[Weight Category, Function, and Gender]],tblWeightOrFunction[],6,0),"")</f>
        <v/>
      </c>
      <c r="AX78" s="84" t="str">
        <f>IFERROR(VLOOKUP(tblData[[#This Row],[Weight Category, Function, and Gender]],tblWeightOrFunction[],2,0),"")</f>
        <v/>
      </c>
      <c r="AY78" s="75">
        <f>tblData[[#This Row],[Arr Date]]+tblData[[#This Row],[Arr Time]]</f>
        <v>0</v>
      </c>
      <c r="AZ78" s="75">
        <f>tblData[[#This Row],[Dep Date]]+tblData[[#This Row],[Dep Time]]</f>
        <v>0</v>
      </c>
      <c r="BA78" s="72">
        <f>COUNTIF(tblData[Surname],"&lt;="&amp;tblData[Surname])</f>
        <v>0</v>
      </c>
      <c r="BB78" s="72">
        <f>COUNTIF(tblData[Given name],"&lt;="&amp;tblData[Given name])</f>
        <v>0</v>
      </c>
      <c r="BC78" s="72">
        <f>COUNTIF(tblData[Arr DateTime],"&lt;="&amp;tblData[Arr DateTime])</f>
        <v>110</v>
      </c>
      <c r="BD78" s="72">
        <f>COUNTIF(tblData[Dep DateTime],"&lt;="&amp;tblData[Dep DateTime])</f>
        <v>110</v>
      </c>
      <c r="BE78" s="72">
        <f>COUNTIF(tblData[ShuttleAtDeparture],"&lt;="&amp;tblData[ShuttleAtDeparture])</f>
        <v>0</v>
      </c>
      <c r="BI78" s="6" t="str">
        <f t="array" ref="BI78">IF(ROWS(tblData[[#Headers],[Id]]:tblData[[#This Row],[Id]])-1&gt;$BI$11,"",INDEX(tblData[Id],SMALL(IF(LEN(TRIM(tblData[Surname]))*((tblData[Type]=$BI$9)+(tblData[Type]=$BI$10)),ROW(tblData[Id])-ROW(tblData[[#Headers],[Id]])),ROWS(tblData[[#Headers],[Id]]:tblData[[#This Row],[Id]])-1)))</f>
        <v/>
      </c>
      <c r="BK78" s="6" t="str">
        <f>IF(ROWS(tblCoachesAndOfficialsSorted[[#Headers],[Id]]:tblCoachesAndOfficialsSorted[[#This Row],[Id]])-1&gt;$BK$11,"",SMALL(tblCoachesAndOfficials[Id],ROWS(tblCoachesAndOfficialsSorted[[#Headers],[Id]]:tblCoachesAndOfficialsSorted[[#This Row],[Id]])-1))</f>
        <v/>
      </c>
      <c r="BM78" s="6" t="str">
        <f t="array" ref="BM78">IF(ROWS(tblData[[#Headers],[Id]]:tblData[[#This Row],[Id]])-1&gt;$BM$11,"",INDEX(tblData[Id],SMALL(IF(LEN(TRIM(tblData[Surname]))*(tblData[Type]=$BM$9),ROW(tblData[Id])-ROW(tblData[[#Headers],[Id]])),ROWS(tblData[[#Headers],[Id]]:tblData[[#This Row],[Id]])-1)))</f>
        <v/>
      </c>
      <c r="BO78" s="6" t="str">
        <f>IF(ROWS(tblWomenSorted[[#Headers],[Id]]:tblWomenSorted[[#This Row],[Id]])-1&gt;$BO$11,"",SMALL(tblWomen[Id],ROWS(tblWomenSorted[[#Headers],[Id]]:tblWomenSorted[[#This Row],[Id]])-1))</f>
        <v/>
      </c>
      <c r="BP78" s="17"/>
      <c r="BQ78" s="6" t="str">
        <f t="array" ref="BQ78">IF(ROWS(tblData[[#Headers],[Id]]:tblData[[#This Row],[Id]])-1&gt;$BQ$11,"",INDEX(tblData[Id],SMALL(IF(LEN(TRIM(tblData[Surname]))*(tblData[Type]=$BQ$9),ROW(tblData[Id])-ROW(tblData[[#Headers],[Id]])),ROWS(tblData[[#Headers],[Id]]:tblData[[#This Row],[Id]])-1)))</f>
        <v/>
      </c>
      <c r="BS78" s="6" t="str">
        <f>IF(ROWS(tblMenSorted[[#Headers],[Id]]:tblMenSorted[[#This Row],[Id]])-1&gt;$BS$11,"",SMALL(tblMen[Id],ROWS(tblMenSorted[[#Headers],[Id]]:tblMenSorted[[#This Row],[Id]])-1))</f>
        <v/>
      </c>
      <c r="BU78" s="6" t="str">
        <f t="array" ref="BU78">IF(ROWS(tblData[[#Headers],[Sorted Name Id]]:tblData[[#This Row],[Sorted Name Id]])-1&gt;$BU$11,"",INDEX(tblData[Sorted Name Id],SMALL(IF(LEN(TRIM(tblData[Surname]))*(tblData[Visa required]="YES"),ROW(tblData[Sorted Name Id])-ROW(tblData[[#Headers],[Sorted Name Id]])),ROWS(tblData[[#Headers],[Sorted Name Id]]:tblData[[#This Row],[Sorted Name Id]])-1)))</f>
        <v/>
      </c>
      <c r="BW78" s="6" t="str">
        <f>IF(ROWS(tblVisasSorted[[#Headers],[Id]]:tblVisasSorted[[#This Row],[Id]])-1&gt;$BW$11,"",SMALL(tblVisas[Id],ROWS(tblVisasSorted[[#Headers],[Id]]:tblVisasSorted[[#This Row],[Id]])-1))</f>
        <v/>
      </c>
      <c r="BY78" s="6" t="str">
        <f t="array" ref="BY78">IF(ROWS(tblData[[#Headers],[Sorted Arr Id]]:tblData[[#This Row],[Sorted Arr Id]])-1&gt;$BY$11,"",INDEX(tblData[Sorted Arr Id],SMALL(IF(LEN(TRIM(tblData[Surname]))*(tblData[Arr DateTime]&gt;0),ROW(tblData[Sorted Arr Id])-ROW(tblData[[#Headers],[Sorted Arr Id]])),ROWS(tblData[[#Headers],[Sorted Arr Id]]:tblData[[#This Row],[Sorted Arr Id]])-1)))</f>
        <v/>
      </c>
      <c r="CA78" s="6" t="str">
        <f>IF(ROWS(tblArrivalSorted[[#Headers],[Id]]:tblArrivalSorted[[#This Row],[Id]])-1&gt;$CA$11,"",SMALL(tblArrival[Id],ROWS(tblArrivalSorted[[#Headers],[Id]]:tblArrivalSorted[[#This Row],[Id]])-1))</f>
        <v/>
      </c>
      <c r="CC78" s="6" t="str">
        <f t="array" ref="CC78">IF(ROWS(tblData[[#Headers],[Sorted Dep Id]]:tblData[[#This Row],[Sorted Dep Id]])-1&gt;$CC$11,"",INDEX(tblData[Sorted Dep Id],SMALL(IF(LEN(TRIM(tblData[Surname]))*(tblData[Dep DateTime]&gt;0),ROW(tblData[Sorted Dep Id])-ROW(tblData[[#Headers],[Sorted Dep Id]])),ROWS(tblData[[#Headers],[Sorted Dep Id]]:tblData[[#This Row],[Sorted Dep Id]])-1)))</f>
        <v/>
      </c>
      <c r="CE78" s="6" t="str">
        <f>IF(ROWS(tblDepartureSorted[[#Headers],[Id]]:tblDepartureSorted[[#This Row],[Id]])-1&gt;$CE$11,"",SMALL(tblDeparture[Id],ROWS(tblDepartureSorted[[#Headers],[Id]]:tblDepartureSorted[[#This Row],[Id]])-1))</f>
        <v/>
      </c>
      <c r="CG78" s="6" t="str">
        <f t="array" ref="CG78">IF(ROWS(tblData[[#Headers],[Id]]:tblData[[#This Row],[Id]])-1&gt;$CG$11,"",INDEX(tblData[Id],SMALL(IF(LEN(TRIM(tblData[Surname])),ROW(tblData[Id])-ROW(tblData[[#Headers],[Id]])),ROWS(tblData[[#Headers],[Id]]:tblData[[#This Row],[Id]])-1)))</f>
        <v/>
      </c>
    </row>
    <row r="79" spans="1:85" s="6" customFormat="1">
      <c r="A79" s="14">
        <f>IF(ISNUMBER(tblData[[#This Row],[SubType2]]),tblData[[#This Row],[SubType2]]*10000+tblData[[#This Row],[No]],1000000+tblData[[#This Row],[No]])</f>
        <v>1000066</v>
      </c>
      <c r="B79" s="14">
        <f>IFERROR(tblData[[#This Row],[Surname Rang]]*1000+tblData[[#This Row],[Given Name Rang]]+tblData[[#This Row],[No]]/1000,"")</f>
        <v>6.6000000000000003E-2</v>
      </c>
      <c r="C79" s="14">
        <f>IFERROR(tblData[[#This Row],[Arr DateTime Rang]]+tblData[[#This Row],[No]]/1000,"")</f>
        <v>110.066</v>
      </c>
      <c r="D79" s="14">
        <f>IFERROR(tblData[[#This Row],[Dep DateTime Rang]]+tblData[[#This Row],[No]]/1000,"")</f>
        <v>110.066</v>
      </c>
      <c r="E79" s="362">
        <f t="shared" si="1"/>
        <v>66</v>
      </c>
      <c r="F79" s="370"/>
      <c r="G79" s="331"/>
      <c r="H79" s="328"/>
      <c r="I79" s="329"/>
      <c r="J79" s="330"/>
      <c r="K79" s="369"/>
      <c r="L79" s="375"/>
      <c r="M79" s="331"/>
      <c r="N79" s="331"/>
      <c r="O79" s="331"/>
      <c r="P79" s="329"/>
      <c r="Q79" s="376"/>
      <c r="R79" s="383"/>
      <c r="S79" s="332"/>
      <c r="T79" s="331"/>
      <c r="U79" s="333"/>
      <c r="V79" s="333"/>
      <c r="W79" s="384"/>
      <c r="X79" s="383"/>
      <c r="Y79" s="332"/>
      <c r="Z79" s="331"/>
      <c r="AA79" s="331"/>
      <c r="AB79" s="333"/>
      <c r="AC79" s="384"/>
      <c r="AD79" s="375"/>
      <c r="AE79" s="369"/>
      <c r="AF79" s="397"/>
      <c r="AG79" s="328"/>
      <c r="AH79" s="328"/>
      <c r="AI79" s="328"/>
      <c r="AJ79" s="328"/>
      <c r="AK79" s="328"/>
      <c r="AL79" s="328"/>
      <c r="AM79" s="328"/>
      <c r="AN79" s="398"/>
      <c r="AO79" s="402" t="str">
        <f>IF(ISBLANK(tblData[[#This Row],[Surname]]),"",IF(tblData[[#This Row],[Bill Accred Fee]]=0,"NO","YES"))</f>
        <v/>
      </c>
      <c r="AP79" s="406">
        <f>IF(AND(NOT(ISBLANK(tblData[[#This Row],[Surname]])),COUNTA(tblData[[#This Row],[Day 1]:[Day 9]])=0),1,0)</f>
        <v>0</v>
      </c>
      <c r="AQ79" s="406">
        <f>IF(AND(NOT(ISBLANK(tblData[[#This Row],[Surname]])),tblData[[#This Row],[Position]]="Athlete"),1,0)</f>
        <v>0</v>
      </c>
      <c r="AR79" s="433">
        <f>EntryFee*tblData[[#This Row],[Entry Fee Billable]]</f>
        <v>0</v>
      </c>
      <c r="AS79" s="410" t="e">
        <f>IF(ISBLANK(SelectedCategory),"No Cat!",IF(ISBLANK($F79),0,IFERROR(VLOOKUP(AS$12&amp;", "&amp;tblData[[#This Row],[Day 1]],tblAccommodationCosts[],5,FALSE),0)+IFERROR(VLOOKUP(AS$12&amp;", "&amp;tblData[[#This Row],[Day 2]],tblAccommodationCosts[],5,FALSE),0)+IFERROR(VLOOKUP(AS$12&amp;", "&amp;tblData[[#This Row],[Day 3]],tblAccommodationCosts[],5,FALSE),0)+IFERROR(VLOOKUP(AS$12&amp;", "&amp;tblData[[#This Row],[Day 4]],tblAccommodationCosts[],5,FALSE),0)+IFERROR(VLOOKUP(AS$12&amp;", "&amp;tblData[[#This Row],[Day 5]],tblAccommodationCosts[],5,FALSE),0)+IFERROR(VLOOKUP(AS$12&amp;", "&amp;tblData[[#This Row],[Day 6]],tblAccommodationCosts[],5,FALSE),0)+IFERROR(VLOOKUP(AS$12&amp;", "&amp;tblData[[#This Row],[Day 7]],tblAccommodationCosts[],5,FALSE),0)+IFERROR(VLOOKUP(AS$12&amp;", "&amp;tblData[[#This Row],[Day 8]],tblAccommodationCosts[],5,FALSE),0)+IFERROR(VLOOKUP(AS$12&amp;", "&amp;tblData[[#This Row],[Day 9]],tblAccommodationCosts[],5,FALSE),0)+AccreditationFee*tblData[[#This Row],[Bill Accred Fee]]))+tblData[[#This Row],[Entry Fee]]</f>
        <v>#VALUE!</v>
      </c>
      <c r="AT79" s="324" t="str">
        <f>IFERROR(VLOOKUP(tblData[[#This Row],[Weight Category, Function, and Gender]],tblWeightOrFunction[],3,0),"")</f>
        <v/>
      </c>
      <c r="AU79" s="84" t="str">
        <f>IFERROR(VLOOKUP(tblData[[#This Row],[Weight Category, Function, and Gender]],tblWeightOrFunction[],4,0),"")</f>
        <v/>
      </c>
      <c r="AV79" s="85" t="str">
        <f>IFERROR(VLOOKUP(tblData[[#This Row],[Weight Category, Function, and Gender]],tblWeightOrFunction[],7,0),"")</f>
        <v/>
      </c>
      <c r="AW79" s="84" t="str">
        <f>IFERROR(VLOOKUP(tblData[[#This Row],[Weight Category, Function, and Gender]],tblWeightOrFunction[],6,0),"")</f>
        <v/>
      </c>
      <c r="AX79" s="84" t="str">
        <f>IFERROR(VLOOKUP(tblData[[#This Row],[Weight Category, Function, and Gender]],tblWeightOrFunction[],2,0),"")</f>
        <v/>
      </c>
      <c r="AY79" s="75">
        <f>tblData[[#This Row],[Arr Date]]+tblData[[#This Row],[Arr Time]]</f>
        <v>0</v>
      </c>
      <c r="AZ79" s="75">
        <f>tblData[[#This Row],[Dep Date]]+tblData[[#This Row],[Dep Time]]</f>
        <v>0</v>
      </c>
      <c r="BA79" s="72">
        <f>COUNTIF(tblData[Surname],"&lt;="&amp;tblData[Surname])</f>
        <v>0</v>
      </c>
      <c r="BB79" s="72">
        <f>COUNTIF(tblData[Given name],"&lt;="&amp;tblData[Given name])</f>
        <v>0</v>
      </c>
      <c r="BC79" s="72">
        <f>COUNTIF(tblData[Arr DateTime],"&lt;="&amp;tblData[Arr DateTime])</f>
        <v>110</v>
      </c>
      <c r="BD79" s="72">
        <f>COUNTIF(tblData[Dep DateTime],"&lt;="&amp;tblData[Dep DateTime])</f>
        <v>110</v>
      </c>
      <c r="BE79" s="72">
        <f>COUNTIF(tblData[ShuttleAtDeparture],"&lt;="&amp;tblData[ShuttleAtDeparture])</f>
        <v>0</v>
      </c>
      <c r="BI79" s="6" t="str">
        <f t="array" ref="BI79">IF(ROWS(tblData[[#Headers],[Id]]:tblData[[#This Row],[Id]])-1&gt;$BI$11,"",INDEX(tblData[Id],SMALL(IF(LEN(TRIM(tblData[Surname]))*((tblData[Type]=$BI$9)+(tblData[Type]=$BI$10)),ROW(tblData[Id])-ROW(tblData[[#Headers],[Id]])),ROWS(tblData[[#Headers],[Id]]:tblData[[#This Row],[Id]])-1)))</f>
        <v/>
      </c>
      <c r="BK79" s="6" t="str">
        <f>IF(ROWS(tblCoachesAndOfficialsSorted[[#Headers],[Id]]:tblCoachesAndOfficialsSorted[[#This Row],[Id]])-1&gt;$BK$11,"",SMALL(tblCoachesAndOfficials[Id],ROWS(tblCoachesAndOfficialsSorted[[#Headers],[Id]]:tblCoachesAndOfficialsSorted[[#This Row],[Id]])-1))</f>
        <v/>
      </c>
      <c r="BM79" s="6" t="str">
        <f t="array" ref="BM79">IF(ROWS(tblData[[#Headers],[Id]]:tblData[[#This Row],[Id]])-1&gt;$BM$11,"",INDEX(tblData[Id],SMALL(IF(LEN(TRIM(tblData[Surname]))*(tblData[Type]=$BM$9),ROW(tblData[Id])-ROW(tblData[[#Headers],[Id]])),ROWS(tblData[[#Headers],[Id]]:tblData[[#This Row],[Id]])-1)))</f>
        <v/>
      </c>
      <c r="BO79" s="6" t="str">
        <f>IF(ROWS(tblWomenSorted[[#Headers],[Id]]:tblWomenSorted[[#This Row],[Id]])-1&gt;$BO$11,"",SMALL(tblWomen[Id],ROWS(tblWomenSorted[[#Headers],[Id]]:tblWomenSorted[[#This Row],[Id]])-1))</f>
        <v/>
      </c>
      <c r="BP79" s="17"/>
      <c r="BQ79" s="6" t="str">
        <f t="array" ref="BQ79">IF(ROWS(tblData[[#Headers],[Id]]:tblData[[#This Row],[Id]])-1&gt;$BQ$11,"",INDEX(tblData[Id],SMALL(IF(LEN(TRIM(tblData[Surname]))*(tblData[Type]=$BQ$9),ROW(tblData[Id])-ROW(tblData[[#Headers],[Id]])),ROWS(tblData[[#Headers],[Id]]:tblData[[#This Row],[Id]])-1)))</f>
        <v/>
      </c>
      <c r="BS79" s="6" t="str">
        <f>IF(ROWS(tblMenSorted[[#Headers],[Id]]:tblMenSorted[[#This Row],[Id]])-1&gt;$BS$11,"",SMALL(tblMen[Id],ROWS(tblMenSorted[[#Headers],[Id]]:tblMenSorted[[#This Row],[Id]])-1))</f>
        <v/>
      </c>
      <c r="BU79" s="6" t="str">
        <f t="array" ref="BU79">IF(ROWS(tblData[[#Headers],[Sorted Name Id]]:tblData[[#This Row],[Sorted Name Id]])-1&gt;$BU$11,"",INDEX(tblData[Sorted Name Id],SMALL(IF(LEN(TRIM(tblData[Surname]))*(tblData[Visa required]="YES"),ROW(tblData[Sorted Name Id])-ROW(tblData[[#Headers],[Sorted Name Id]])),ROWS(tblData[[#Headers],[Sorted Name Id]]:tblData[[#This Row],[Sorted Name Id]])-1)))</f>
        <v/>
      </c>
      <c r="BW79" s="6" t="str">
        <f>IF(ROWS(tblVisasSorted[[#Headers],[Id]]:tblVisasSorted[[#This Row],[Id]])-1&gt;$BW$11,"",SMALL(tblVisas[Id],ROWS(tblVisasSorted[[#Headers],[Id]]:tblVisasSorted[[#This Row],[Id]])-1))</f>
        <v/>
      </c>
      <c r="BY79" s="6" t="str">
        <f t="array" ref="BY79">IF(ROWS(tblData[[#Headers],[Sorted Arr Id]]:tblData[[#This Row],[Sorted Arr Id]])-1&gt;$BY$11,"",INDEX(tblData[Sorted Arr Id],SMALL(IF(LEN(TRIM(tblData[Surname]))*(tblData[Arr DateTime]&gt;0),ROW(tblData[Sorted Arr Id])-ROW(tblData[[#Headers],[Sorted Arr Id]])),ROWS(tblData[[#Headers],[Sorted Arr Id]]:tblData[[#This Row],[Sorted Arr Id]])-1)))</f>
        <v/>
      </c>
      <c r="CA79" s="6" t="str">
        <f>IF(ROWS(tblArrivalSorted[[#Headers],[Id]]:tblArrivalSorted[[#This Row],[Id]])-1&gt;$CA$11,"",SMALL(tblArrival[Id],ROWS(tblArrivalSorted[[#Headers],[Id]]:tblArrivalSorted[[#This Row],[Id]])-1))</f>
        <v/>
      </c>
      <c r="CC79" s="6" t="str">
        <f t="array" ref="CC79">IF(ROWS(tblData[[#Headers],[Sorted Dep Id]]:tblData[[#This Row],[Sorted Dep Id]])-1&gt;$CC$11,"",INDEX(tblData[Sorted Dep Id],SMALL(IF(LEN(TRIM(tblData[Surname]))*(tblData[Dep DateTime]&gt;0),ROW(tblData[Sorted Dep Id])-ROW(tblData[[#Headers],[Sorted Dep Id]])),ROWS(tblData[[#Headers],[Sorted Dep Id]]:tblData[[#This Row],[Sorted Dep Id]])-1)))</f>
        <v/>
      </c>
      <c r="CE79" s="6" t="str">
        <f>IF(ROWS(tblDepartureSorted[[#Headers],[Id]]:tblDepartureSorted[[#This Row],[Id]])-1&gt;$CE$11,"",SMALL(tblDeparture[Id],ROWS(tblDepartureSorted[[#Headers],[Id]]:tblDepartureSorted[[#This Row],[Id]])-1))</f>
        <v/>
      </c>
      <c r="CG79" s="6" t="str">
        <f t="array" ref="CG79">IF(ROWS(tblData[[#Headers],[Id]]:tblData[[#This Row],[Id]])-1&gt;$CG$11,"",INDEX(tblData[Id],SMALL(IF(LEN(TRIM(tblData[Surname])),ROW(tblData[Id])-ROW(tblData[[#Headers],[Id]])),ROWS(tblData[[#Headers],[Id]]:tblData[[#This Row],[Id]])-1)))</f>
        <v/>
      </c>
    </row>
    <row r="80" spans="1:85" s="6" customFormat="1">
      <c r="A80" s="14">
        <f>IF(ISNUMBER(tblData[[#This Row],[SubType2]]),tblData[[#This Row],[SubType2]]*10000+tblData[[#This Row],[No]],1000000+tblData[[#This Row],[No]])</f>
        <v>1000067</v>
      </c>
      <c r="B80" s="14">
        <f>IFERROR(tblData[[#This Row],[Surname Rang]]*1000+tblData[[#This Row],[Given Name Rang]]+tblData[[#This Row],[No]]/1000,"")</f>
        <v>6.7000000000000004E-2</v>
      </c>
      <c r="C80" s="14">
        <f>IFERROR(tblData[[#This Row],[Arr DateTime Rang]]+tblData[[#This Row],[No]]/1000,"")</f>
        <v>110.06699999999999</v>
      </c>
      <c r="D80" s="14">
        <f>IFERROR(tblData[[#This Row],[Dep DateTime Rang]]+tblData[[#This Row],[No]]/1000,"")</f>
        <v>110.06699999999999</v>
      </c>
      <c r="E80" s="362">
        <f t="shared" si="1"/>
        <v>67</v>
      </c>
      <c r="F80" s="370"/>
      <c r="G80" s="331"/>
      <c r="H80" s="328"/>
      <c r="I80" s="329"/>
      <c r="J80" s="330"/>
      <c r="K80" s="369"/>
      <c r="L80" s="375"/>
      <c r="M80" s="331"/>
      <c r="N80" s="331"/>
      <c r="O80" s="331"/>
      <c r="P80" s="329"/>
      <c r="Q80" s="376"/>
      <c r="R80" s="383"/>
      <c r="S80" s="332"/>
      <c r="T80" s="331"/>
      <c r="U80" s="333"/>
      <c r="V80" s="333"/>
      <c r="W80" s="384"/>
      <c r="X80" s="383"/>
      <c r="Y80" s="332"/>
      <c r="Z80" s="331"/>
      <c r="AA80" s="331"/>
      <c r="AB80" s="333"/>
      <c r="AC80" s="384"/>
      <c r="AD80" s="375"/>
      <c r="AE80" s="369"/>
      <c r="AF80" s="397"/>
      <c r="AG80" s="328"/>
      <c r="AH80" s="328"/>
      <c r="AI80" s="328"/>
      <c r="AJ80" s="328"/>
      <c r="AK80" s="328"/>
      <c r="AL80" s="328"/>
      <c r="AM80" s="328"/>
      <c r="AN80" s="398"/>
      <c r="AO80" s="402" t="str">
        <f>IF(ISBLANK(tblData[[#This Row],[Surname]]),"",IF(tblData[[#This Row],[Bill Accred Fee]]=0,"NO","YES"))</f>
        <v/>
      </c>
      <c r="AP80" s="406">
        <f>IF(AND(NOT(ISBLANK(tblData[[#This Row],[Surname]])),COUNTA(tblData[[#This Row],[Day 1]:[Day 9]])=0),1,0)</f>
        <v>0</v>
      </c>
      <c r="AQ80" s="406">
        <f>IF(AND(NOT(ISBLANK(tblData[[#This Row],[Surname]])),tblData[[#This Row],[Position]]="Athlete"),1,0)</f>
        <v>0</v>
      </c>
      <c r="AR80" s="433">
        <f>EntryFee*tblData[[#This Row],[Entry Fee Billable]]</f>
        <v>0</v>
      </c>
      <c r="AS80" s="410" t="e">
        <f>IF(ISBLANK(SelectedCategory),"No Cat!",IF(ISBLANK($F80),0,IFERROR(VLOOKUP(AS$12&amp;", "&amp;tblData[[#This Row],[Day 1]],tblAccommodationCosts[],5,FALSE),0)+IFERROR(VLOOKUP(AS$12&amp;", "&amp;tblData[[#This Row],[Day 2]],tblAccommodationCosts[],5,FALSE),0)+IFERROR(VLOOKUP(AS$12&amp;", "&amp;tblData[[#This Row],[Day 3]],tblAccommodationCosts[],5,FALSE),0)+IFERROR(VLOOKUP(AS$12&amp;", "&amp;tblData[[#This Row],[Day 4]],tblAccommodationCosts[],5,FALSE),0)+IFERROR(VLOOKUP(AS$12&amp;", "&amp;tblData[[#This Row],[Day 5]],tblAccommodationCosts[],5,FALSE),0)+IFERROR(VLOOKUP(AS$12&amp;", "&amp;tblData[[#This Row],[Day 6]],tblAccommodationCosts[],5,FALSE),0)+IFERROR(VLOOKUP(AS$12&amp;", "&amp;tblData[[#This Row],[Day 7]],tblAccommodationCosts[],5,FALSE),0)+IFERROR(VLOOKUP(AS$12&amp;", "&amp;tblData[[#This Row],[Day 8]],tblAccommodationCosts[],5,FALSE),0)+IFERROR(VLOOKUP(AS$12&amp;", "&amp;tblData[[#This Row],[Day 9]],tblAccommodationCosts[],5,FALSE),0)+AccreditationFee*tblData[[#This Row],[Bill Accred Fee]]))+tblData[[#This Row],[Entry Fee]]</f>
        <v>#VALUE!</v>
      </c>
      <c r="AT80" s="324" t="str">
        <f>IFERROR(VLOOKUP(tblData[[#This Row],[Weight Category, Function, and Gender]],tblWeightOrFunction[],3,0),"")</f>
        <v/>
      </c>
      <c r="AU80" s="84" t="str">
        <f>IFERROR(VLOOKUP(tblData[[#This Row],[Weight Category, Function, and Gender]],tblWeightOrFunction[],4,0),"")</f>
        <v/>
      </c>
      <c r="AV80" s="85" t="str">
        <f>IFERROR(VLOOKUP(tblData[[#This Row],[Weight Category, Function, and Gender]],tblWeightOrFunction[],7,0),"")</f>
        <v/>
      </c>
      <c r="AW80" s="84" t="str">
        <f>IFERROR(VLOOKUP(tblData[[#This Row],[Weight Category, Function, and Gender]],tblWeightOrFunction[],6,0),"")</f>
        <v/>
      </c>
      <c r="AX80" s="84" t="str">
        <f>IFERROR(VLOOKUP(tblData[[#This Row],[Weight Category, Function, and Gender]],tblWeightOrFunction[],2,0),"")</f>
        <v/>
      </c>
      <c r="AY80" s="75">
        <f>tblData[[#This Row],[Arr Date]]+tblData[[#This Row],[Arr Time]]</f>
        <v>0</v>
      </c>
      <c r="AZ80" s="75">
        <f>tblData[[#This Row],[Dep Date]]+tblData[[#This Row],[Dep Time]]</f>
        <v>0</v>
      </c>
      <c r="BA80" s="72">
        <f>COUNTIF(tblData[Surname],"&lt;="&amp;tblData[Surname])</f>
        <v>0</v>
      </c>
      <c r="BB80" s="72">
        <f>COUNTIF(tblData[Given name],"&lt;="&amp;tblData[Given name])</f>
        <v>0</v>
      </c>
      <c r="BC80" s="72">
        <f>COUNTIF(tblData[Arr DateTime],"&lt;="&amp;tblData[Arr DateTime])</f>
        <v>110</v>
      </c>
      <c r="BD80" s="72">
        <f>COUNTIF(tblData[Dep DateTime],"&lt;="&amp;tblData[Dep DateTime])</f>
        <v>110</v>
      </c>
      <c r="BE80" s="72">
        <f>COUNTIF(tblData[ShuttleAtDeparture],"&lt;="&amp;tblData[ShuttleAtDeparture])</f>
        <v>0</v>
      </c>
      <c r="BI80" s="6" t="str">
        <f t="array" ref="BI80">IF(ROWS(tblData[[#Headers],[Id]]:tblData[[#This Row],[Id]])-1&gt;$BI$11,"",INDEX(tblData[Id],SMALL(IF(LEN(TRIM(tblData[Surname]))*((tblData[Type]=$BI$9)+(tblData[Type]=$BI$10)),ROW(tblData[Id])-ROW(tblData[[#Headers],[Id]])),ROWS(tblData[[#Headers],[Id]]:tblData[[#This Row],[Id]])-1)))</f>
        <v/>
      </c>
      <c r="BK80" s="6" t="str">
        <f>IF(ROWS(tblCoachesAndOfficialsSorted[[#Headers],[Id]]:tblCoachesAndOfficialsSorted[[#This Row],[Id]])-1&gt;$BK$11,"",SMALL(tblCoachesAndOfficials[Id],ROWS(tblCoachesAndOfficialsSorted[[#Headers],[Id]]:tblCoachesAndOfficialsSorted[[#This Row],[Id]])-1))</f>
        <v/>
      </c>
      <c r="BM80" s="6" t="str">
        <f t="array" ref="BM80">IF(ROWS(tblData[[#Headers],[Id]]:tblData[[#This Row],[Id]])-1&gt;$BM$11,"",INDEX(tblData[Id],SMALL(IF(LEN(TRIM(tblData[Surname]))*(tblData[Type]=$BM$9),ROW(tblData[Id])-ROW(tblData[[#Headers],[Id]])),ROWS(tblData[[#Headers],[Id]]:tblData[[#This Row],[Id]])-1)))</f>
        <v/>
      </c>
      <c r="BO80" s="6" t="str">
        <f>IF(ROWS(tblWomenSorted[[#Headers],[Id]]:tblWomenSorted[[#This Row],[Id]])-1&gt;$BO$11,"",SMALL(tblWomen[Id],ROWS(tblWomenSorted[[#Headers],[Id]]:tblWomenSorted[[#This Row],[Id]])-1))</f>
        <v/>
      </c>
      <c r="BP80" s="17"/>
      <c r="BQ80" s="6" t="str">
        <f t="array" ref="BQ80">IF(ROWS(tblData[[#Headers],[Id]]:tblData[[#This Row],[Id]])-1&gt;$BQ$11,"",INDEX(tblData[Id],SMALL(IF(LEN(TRIM(tblData[Surname]))*(tblData[Type]=$BQ$9),ROW(tblData[Id])-ROW(tblData[[#Headers],[Id]])),ROWS(tblData[[#Headers],[Id]]:tblData[[#This Row],[Id]])-1)))</f>
        <v/>
      </c>
      <c r="BS80" s="6" t="str">
        <f>IF(ROWS(tblMenSorted[[#Headers],[Id]]:tblMenSorted[[#This Row],[Id]])-1&gt;$BS$11,"",SMALL(tblMen[Id],ROWS(tblMenSorted[[#Headers],[Id]]:tblMenSorted[[#This Row],[Id]])-1))</f>
        <v/>
      </c>
      <c r="BU80" s="6" t="str">
        <f t="array" ref="BU80">IF(ROWS(tblData[[#Headers],[Sorted Name Id]]:tblData[[#This Row],[Sorted Name Id]])-1&gt;$BU$11,"",INDEX(tblData[Sorted Name Id],SMALL(IF(LEN(TRIM(tblData[Surname]))*(tblData[Visa required]="YES"),ROW(tblData[Sorted Name Id])-ROW(tblData[[#Headers],[Sorted Name Id]])),ROWS(tblData[[#Headers],[Sorted Name Id]]:tblData[[#This Row],[Sorted Name Id]])-1)))</f>
        <v/>
      </c>
      <c r="BW80" s="6" t="str">
        <f>IF(ROWS(tblVisasSorted[[#Headers],[Id]]:tblVisasSorted[[#This Row],[Id]])-1&gt;$BW$11,"",SMALL(tblVisas[Id],ROWS(tblVisasSorted[[#Headers],[Id]]:tblVisasSorted[[#This Row],[Id]])-1))</f>
        <v/>
      </c>
      <c r="BY80" s="6" t="str">
        <f t="array" ref="BY80">IF(ROWS(tblData[[#Headers],[Sorted Arr Id]]:tblData[[#This Row],[Sorted Arr Id]])-1&gt;$BY$11,"",INDEX(tblData[Sorted Arr Id],SMALL(IF(LEN(TRIM(tblData[Surname]))*(tblData[Arr DateTime]&gt;0),ROW(tblData[Sorted Arr Id])-ROW(tblData[[#Headers],[Sorted Arr Id]])),ROWS(tblData[[#Headers],[Sorted Arr Id]]:tblData[[#This Row],[Sorted Arr Id]])-1)))</f>
        <v/>
      </c>
      <c r="CA80" s="6" t="str">
        <f>IF(ROWS(tblArrivalSorted[[#Headers],[Id]]:tblArrivalSorted[[#This Row],[Id]])-1&gt;$CA$11,"",SMALL(tblArrival[Id],ROWS(tblArrivalSorted[[#Headers],[Id]]:tblArrivalSorted[[#This Row],[Id]])-1))</f>
        <v/>
      </c>
      <c r="CC80" s="6" t="str">
        <f t="array" ref="CC80">IF(ROWS(tblData[[#Headers],[Sorted Dep Id]]:tblData[[#This Row],[Sorted Dep Id]])-1&gt;$CC$11,"",INDEX(tblData[Sorted Dep Id],SMALL(IF(LEN(TRIM(tblData[Surname]))*(tblData[Dep DateTime]&gt;0),ROW(tblData[Sorted Dep Id])-ROW(tblData[[#Headers],[Sorted Dep Id]])),ROWS(tblData[[#Headers],[Sorted Dep Id]]:tblData[[#This Row],[Sorted Dep Id]])-1)))</f>
        <v/>
      </c>
      <c r="CE80" s="6" t="str">
        <f>IF(ROWS(tblDepartureSorted[[#Headers],[Id]]:tblDepartureSorted[[#This Row],[Id]])-1&gt;$CE$11,"",SMALL(tblDeparture[Id],ROWS(tblDepartureSorted[[#Headers],[Id]]:tblDepartureSorted[[#This Row],[Id]])-1))</f>
        <v/>
      </c>
      <c r="CG80" s="6" t="str">
        <f t="array" ref="CG80">IF(ROWS(tblData[[#Headers],[Id]]:tblData[[#This Row],[Id]])-1&gt;$CG$11,"",INDEX(tblData[Id],SMALL(IF(LEN(TRIM(tblData[Surname])),ROW(tblData[Id])-ROW(tblData[[#Headers],[Id]])),ROWS(tblData[[#Headers],[Id]]:tblData[[#This Row],[Id]])-1)))</f>
        <v/>
      </c>
    </row>
    <row r="81" spans="1:85" s="6" customFormat="1">
      <c r="A81" s="14">
        <f>IF(ISNUMBER(tblData[[#This Row],[SubType2]]),tblData[[#This Row],[SubType2]]*10000+tblData[[#This Row],[No]],1000000+tblData[[#This Row],[No]])</f>
        <v>1000068</v>
      </c>
      <c r="B81" s="14">
        <f>IFERROR(tblData[[#This Row],[Surname Rang]]*1000+tblData[[#This Row],[Given Name Rang]]+tblData[[#This Row],[No]]/1000,"")</f>
        <v>6.8000000000000005E-2</v>
      </c>
      <c r="C81" s="14">
        <f>IFERROR(tblData[[#This Row],[Arr DateTime Rang]]+tblData[[#This Row],[No]]/1000,"")</f>
        <v>110.068</v>
      </c>
      <c r="D81" s="14">
        <f>IFERROR(tblData[[#This Row],[Dep DateTime Rang]]+tblData[[#This Row],[No]]/1000,"")</f>
        <v>110.068</v>
      </c>
      <c r="E81" s="362">
        <f t="shared" si="1"/>
        <v>68</v>
      </c>
      <c r="F81" s="370"/>
      <c r="G81" s="331"/>
      <c r="H81" s="328"/>
      <c r="I81" s="329"/>
      <c r="J81" s="330"/>
      <c r="K81" s="369"/>
      <c r="L81" s="375"/>
      <c r="M81" s="331"/>
      <c r="N81" s="331"/>
      <c r="O81" s="331"/>
      <c r="P81" s="329"/>
      <c r="Q81" s="376"/>
      <c r="R81" s="383"/>
      <c r="S81" s="332"/>
      <c r="T81" s="331"/>
      <c r="U81" s="333"/>
      <c r="V81" s="333"/>
      <c r="W81" s="384"/>
      <c r="X81" s="383"/>
      <c r="Y81" s="332"/>
      <c r="Z81" s="331"/>
      <c r="AA81" s="331"/>
      <c r="AB81" s="333"/>
      <c r="AC81" s="384"/>
      <c r="AD81" s="375"/>
      <c r="AE81" s="369"/>
      <c r="AF81" s="397"/>
      <c r="AG81" s="328"/>
      <c r="AH81" s="328"/>
      <c r="AI81" s="328"/>
      <c r="AJ81" s="328"/>
      <c r="AK81" s="328"/>
      <c r="AL81" s="328"/>
      <c r="AM81" s="328"/>
      <c r="AN81" s="398"/>
      <c r="AO81" s="402" t="str">
        <f>IF(ISBLANK(tblData[[#This Row],[Surname]]),"",IF(tblData[[#This Row],[Bill Accred Fee]]=0,"NO","YES"))</f>
        <v/>
      </c>
      <c r="AP81" s="406">
        <f>IF(AND(NOT(ISBLANK(tblData[[#This Row],[Surname]])),COUNTA(tblData[[#This Row],[Day 1]:[Day 9]])=0),1,0)</f>
        <v>0</v>
      </c>
      <c r="AQ81" s="406">
        <f>IF(AND(NOT(ISBLANK(tblData[[#This Row],[Surname]])),tblData[[#This Row],[Position]]="Athlete"),1,0)</f>
        <v>0</v>
      </c>
      <c r="AR81" s="433">
        <f>EntryFee*tblData[[#This Row],[Entry Fee Billable]]</f>
        <v>0</v>
      </c>
      <c r="AS81" s="410" t="e">
        <f>IF(ISBLANK(SelectedCategory),"No Cat!",IF(ISBLANK($F81),0,IFERROR(VLOOKUP(AS$12&amp;", "&amp;tblData[[#This Row],[Day 1]],tblAccommodationCosts[],5,FALSE),0)+IFERROR(VLOOKUP(AS$12&amp;", "&amp;tblData[[#This Row],[Day 2]],tblAccommodationCosts[],5,FALSE),0)+IFERROR(VLOOKUP(AS$12&amp;", "&amp;tblData[[#This Row],[Day 3]],tblAccommodationCosts[],5,FALSE),0)+IFERROR(VLOOKUP(AS$12&amp;", "&amp;tblData[[#This Row],[Day 4]],tblAccommodationCosts[],5,FALSE),0)+IFERROR(VLOOKUP(AS$12&amp;", "&amp;tblData[[#This Row],[Day 5]],tblAccommodationCosts[],5,FALSE),0)+IFERROR(VLOOKUP(AS$12&amp;", "&amp;tblData[[#This Row],[Day 6]],tblAccommodationCosts[],5,FALSE),0)+IFERROR(VLOOKUP(AS$12&amp;", "&amp;tblData[[#This Row],[Day 7]],tblAccommodationCosts[],5,FALSE),0)+IFERROR(VLOOKUP(AS$12&amp;", "&amp;tblData[[#This Row],[Day 8]],tblAccommodationCosts[],5,FALSE),0)+IFERROR(VLOOKUP(AS$12&amp;", "&amp;tblData[[#This Row],[Day 9]],tblAccommodationCosts[],5,FALSE),0)+AccreditationFee*tblData[[#This Row],[Bill Accred Fee]]))+tblData[[#This Row],[Entry Fee]]</f>
        <v>#VALUE!</v>
      </c>
      <c r="AT81" s="324" t="str">
        <f>IFERROR(VLOOKUP(tblData[[#This Row],[Weight Category, Function, and Gender]],tblWeightOrFunction[],3,0),"")</f>
        <v/>
      </c>
      <c r="AU81" s="84" t="str">
        <f>IFERROR(VLOOKUP(tblData[[#This Row],[Weight Category, Function, and Gender]],tblWeightOrFunction[],4,0),"")</f>
        <v/>
      </c>
      <c r="AV81" s="85" t="str">
        <f>IFERROR(VLOOKUP(tblData[[#This Row],[Weight Category, Function, and Gender]],tblWeightOrFunction[],7,0),"")</f>
        <v/>
      </c>
      <c r="AW81" s="84" t="str">
        <f>IFERROR(VLOOKUP(tblData[[#This Row],[Weight Category, Function, and Gender]],tblWeightOrFunction[],6,0),"")</f>
        <v/>
      </c>
      <c r="AX81" s="84" t="str">
        <f>IFERROR(VLOOKUP(tblData[[#This Row],[Weight Category, Function, and Gender]],tblWeightOrFunction[],2,0),"")</f>
        <v/>
      </c>
      <c r="AY81" s="75">
        <f>tblData[[#This Row],[Arr Date]]+tblData[[#This Row],[Arr Time]]</f>
        <v>0</v>
      </c>
      <c r="AZ81" s="75">
        <f>tblData[[#This Row],[Dep Date]]+tblData[[#This Row],[Dep Time]]</f>
        <v>0</v>
      </c>
      <c r="BA81" s="72">
        <f>COUNTIF(tblData[Surname],"&lt;="&amp;tblData[Surname])</f>
        <v>0</v>
      </c>
      <c r="BB81" s="72">
        <f>COUNTIF(tblData[Given name],"&lt;="&amp;tblData[Given name])</f>
        <v>0</v>
      </c>
      <c r="BC81" s="72">
        <f>COUNTIF(tblData[Arr DateTime],"&lt;="&amp;tblData[Arr DateTime])</f>
        <v>110</v>
      </c>
      <c r="BD81" s="72">
        <f>COUNTIF(tblData[Dep DateTime],"&lt;="&amp;tblData[Dep DateTime])</f>
        <v>110</v>
      </c>
      <c r="BE81" s="72">
        <f>COUNTIF(tblData[ShuttleAtDeparture],"&lt;="&amp;tblData[ShuttleAtDeparture])</f>
        <v>0</v>
      </c>
      <c r="BI81" s="6" t="str">
        <f t="array" ref="BI81">IF(ROWS(tblData[[#Headers],[Id]]:tblData[[#This Row],[Id]])-1&gt;$BI$11,"",INDEX(tblData[Id],SMALL(IF(LEN(TRIM(tblData[Surname]))*((tblData[Type]=$BI$9)+(tblData[Type]=$BI$10)),ROW(tblData[Id])-ROW(tblData[[#Headers],[Id]])),ROWS(tblData[[#Headers],[Id]]:tblData[[#This Row],[Id]])-1)))</f>
        <v/>
      </c>
      <c r="BK81" s="6" t="str">
        <f>IF(ROWS(tblCoachesAndOfficialsSorted[[#Headers],[Id]]:tblCoachesAndOfficialsSorted[[#This Row],[Id]])-1&gt;$BK$11,"",SMALL(tblCoachesAndOfficials[Id],ROWS(tblCoachesAndOfficialsSorted[[#Headers],[Id]]:tblCoachesAndOfficialsSorted[[#This Row],[Id]])-1))</f>
        <v/>
      </c>
      <c r="BM81" s="6" t="str">
        <f t="array" ref="BM81">IF(ROWS(tblData[[#Headers],[Id]]:tblData[[#This Row],[Id]])-1&gt;$BM$11,"",INDEX(tblData[Id],SMALL(IF(LEN(TRIM(tblData[Surname]))*(tblData[Type]=$BM$9),ROW(tblData[Id])-ROW(tblData[[#Headers],[Id]])),ROWS(tblData[[#Headers],[Id]]:tblData[[#This Row],[Id]])-1)))</f>
        <v/>
      </c>
      <c r="BO81" s="6" t="str">
        <f>IF(ROWS(tblWomenSorted[[#Headers],[Id]]:tblWomenSorted[[#This Row],[Id]])-1&gt;$BO$11,"",SMALL(tblWomen[Id],ROWS(tblWomenSorted[[#Headers],[Id]]:tblWomenSorted[[#This Row],[Id]])-1))</f>
        <v/>
      </c>
      <c r="BP81" s="17"/>
      <c r="BQ81" s="6" t="str">
        <f t="array" ref="BQ81">IF(ROWS(tblData[[#Headers],[Id]]:tblData[[#This Row],[Id]])-1&gt;$BQ$11,"",INDEX(tblData[Id],SMALL(IF(LEN(TRIM(tblData[Surname]))*(tblData[Type]=$BQ$9),ROW(tblData[Id])-ROW(tblData[[#Headers],[Id]])),ROWS(tblData[[#Headers],[Id]]:tblData[[#This Row],[Id]])-1)))</f>
        <v/>
      </c>
      <c r="BS81" s="6" t="str">
        <f>IF(ROWS(tblMenSorted[[#Headers],[Id]]:tblMenSorted[[#This Row],[Id]])-1&gt;$BS$11,"",SMALL(tblMen[Id],ROWS(tblMenSorted[[#Headers],[Id]]:tblMenSorted[[#This Row],[Id]])-1))</f>
        <v/>
      </c>
      <c r="BU81" s="6" t="str">
        <f t="array" ref="BU81">IF(ROWS(tblData[[#Headers],[Sorted Name Id]]:tblData[[#This Row],[Sorted Name Id]])-1&gt;$BU$11,"",INDEX(tblData[Sorted Name Id],SMALL(IF(LEN(TRIM(tblData[Surname]))*(tblData[Visa required]="YES"),ROW(tblData[Sorted Name Id])-ROW(tblData[[#Headers],[Sorted Name Id]])),ROWS(tblData[[#Headers],[Sorted Name Id]]:tblData[[#This Row],[Sorted Name Id]])-1)))</f>
        <v/>
      </c>
      <c r="BW81" s="6" t="str">
        <f>IF(ROWS(tblVisasSorted[[#Headers],[Id]]:tblVisasSorted[[#This Row],[Id]])-1&gt;$BW$11,"",SMALL(tblVisas[Id],ROWS(tblVisasSorted[[#Headers],[Id]]:tblVisasSorted[[#This Row],[Id]])-1))</f>
        <v/>
      </c>
      <c r="BY81" s="6" t="str">
        <f t="array" ref="BY81">IF(ROWS(tblData[[#Headers],[Sorted Arr Id]]:tblData[[#This Row],[Sorted Arr Id]])-1&gt;$BY$11,"",INDEX(tblData[Sorted Arr Id],SMALL(IF(LEN(TRIM(tblData[Surname]))*(tblData[Arr DateTime]&gt;0),ROW(tblData[Sorted Arr Id])-ROW(tblData[[#Headers],[Sorted Arr Id]])),ROWS(tblData[[#Headers],[Sorted Arr Id]]:tblData[[#This Row],[Sorted Arr Id]])-1)))</f>
        <v/>
      </c>
      <c r="CA81" s="6" t="str">
        <f>IF(ROWS(tblArrivalSorted[[#Headers],[Id]]:tblArrivalSorted[[#This Row],[Id]])-1&gt;$CA$11,"",SMALL(tblArrival[Id],ROWS(tblArrivalSorted[[#Headers],[Id]]:tblArrivalSorted[[#This Row],[Id]])-1))</f>
        <v/>
      </c>
      <c r="CC81" s="6" t="str">
        <f t="array" ref="CC81">IF(ROWS(tblData[[#Headers],[Sorted Dep Id]]:tblData[[#This Row],[Sorted Dep Id]])-1&gt;$CC$11,"",INDEX(tblData[Sorted Dep Id],SMALL(IF(LEN(TRIM(tblData[Surname]))*(tblData[Dep DateTime]&gt;0),ROW(tblData[Sorted Dep Id])-ROW(tblData[[#Headers],[Sorted Dep Id]])),ROWS(tblData[[#Headers],[Sorted Dep Id]]:tblData[[#This Row],[Sorted Dep Id]])-1)))</f>
        <v/>
      </c>
      <c r="CE81" s="6" t="str">
        <f>IF(ROWS(tblDepartureSorted[[#Headers],[Id]]:tblDepartureSorted[[#This Row],[Id]])-1&gt;$CE$11,"",SMALL(tblDeparture[Id],ROWS(tblDepartureSorted[[#Headers],[Id]]:tblDepartureSorted[[#This Row],[Id]])-1))</f>
        <v/>
      </c>
      <c r="CG81" s="6" t="str">
        <f t="array" ref="CG81">IF(ROWS(tblData[[#Headers],[Id]]:tblData[[#This Row],[Id]])-1&gt;$CG$11,"",INDEX(tblData[Id],SMALL(IF(LEN(TRIM(tblData[Surname])),ROW(tblData[Id])-ROW(tblData[[#Headers],[Id]])),ROWS(tblData[[#Headers],[Id]]:tblData[[#This Row],[Id]])-1)))</f>
        <v/>
      </c>
    </row>
    <row r="82" spans="1:85" s="6" customFormat="1">
      <c r="A82" s="14">
        <f>IF(ISNUMBER(tblData[[#This Row],[SubType2]]),tblData[[#This Row],[SubType2]]*10000+tblData[[#This Row],[No]],1000000+tblData[[#This Row],[No]])</f>
        <v>1000069</v>
      </c>
      <c r="B82" s="14">
        <f>IFERROR(tblData[[#This Row],[Surname Rang]]*1000+tblData[[#This Row],[Given Name Rang]]+tblData[[#This Row],[No]]/1000,"")</f>
        <v>6.9000000000000006E-2</v>
      </c>
      <c r="C82" s="14">
        <f>IFERROR(tblData[[#This Row],[Arr DateTime Rang]]+tblData[[#This Row],[No]]/1000,"")</f>
        <v>110.069</v>
      </c>
      <c r="D82" s="14">
        <f>IFERROR(tblData[[#This Row],[Dep DateTime Rang]]+tblData[[#This Row],[No]]/1000,"")</f>
        <v>110.069</v>
      </c>
      <c r="E82" s="362">
        <f t="shared" si="1"/>
        <v>69</v>
      </c>
      <c r="F82" s="370"/>
      <c r="G82" s="331"/>
      <c r="H82" s="328"/>
      <c r="I82" s="329"/>
      <c r="J82" s="330"/>
      <c r="K82" s="369"/>
      <c r="L82" s="375"/>
      <c r="M82" s="331"/>
      <c r="N82" s="331"/>
      <c r="O82" s="331"/>
      <c r="P82" s="329"/>
      <c r="Q82" s="376"/>
      <c r="R82" s="383"/>
      <c r="S82" s="332"/>
      <c r="T82" s="331"/>
      <c r="U82" s="333"/>
      <c r="V82" s="333"/>
      <c r="W82" s="384"/>
      <c r="X82" s="383"/>
      <c r="Y82" s="332"/>
      <c r="Z82" s="331"/>
      <c r="AA82" s="331"/>
      <c r="AB82" s="333"/>
      <c r="AC82" s="384"/>
      <c r="AD82" s="375"/>
      <c r="AE82" s="369"/>
      <c r="AF82" s="397"/>
      <c r="AG82" s="328"/>
      <c r="AH82" s="328"/>
      <c r="AI82" s="328"/>
      <c r="AJ82" s="328"/>
      <c r="AK82" s="328"/>
      <c r="AL82" s="328"/>
      <c r="AM82" s="328"/>
      <c r="AN82" s="398"/>
      <c r="AO82" s="402" t="str">
        <f>IF(ISBLANK(tblData[[#This Row],[Surname]]),"",IF(tblData[[#This Row],[Bill Accred Fee]]=0,"NO","YES"))</f>
        <v/>
      </c>
      <c r="AP82" s="406">
        <f>IF(AND(NOT(ISBLANK(tblData[[#This Row],[Surname]])),COUNTA(tblData[[#This Row],[Day 1]:[Day 9]])=0),1,0)</f>
        <v>0</v>
      </c>
      <c r="AQ82" s="406">
        <f>IF(AND(NOT(ISBLANK(tblData[[#This Row],[Surname]])),tblData[[#This Row],[Position]]="Athlete"),1,0)</f>
        <v>0</v>
      </c>
      <c r="AR82" s="433">
        <f>EntryFee*tblData[[#This Row],[Entry Fee Billable]]</f>
        <v>0</v>
      </c>
      <c r="AS82" s="410" t="e">
        <f>IF(ISBLANK(SelectedCategory),"No Cat!",IF(ISBLANK($F82),0,IFERROR(VLOOKUP(AS$12&amp;", "&amp;tblData[[#This Row],[Day 1]],tblAccommodationCosts[],5,FALSE),0)+IFERROR(VLOOKUP(AS$12&amp;", "&amp;tblData[[#This Row],[Day 2]],tblAccommodationCosts[],5,FALSE),0)+IFERROR(VLOOKUP(AS$12&amp;", "&amp;tblData[[#This Row],[Day 3]],tblAccommodationCosts[],5,FALSE),0)+IFERROR(VLOOKUP(AS$12&amp;", "&amp;tblData[[#This Row],[Day 4]],tblAccommodationCosts[],5,FALSE),0)+IFERROR(VLOOKUP(AS$12&amp;", "&amp;tblData[[#This Row],[Day 5]],tblAccommodationCosts[],5,FALSE),0)+IFERROR(VLOOKUP(AS$12&amp;", "&amp;tblData[[#This Row],[Day 6]],tblAccommodationCosts[],5,FALSE),0)+IFERROR(VLOOKUP(AS$12&amp;", "&amp;tblData[[#This Row],[Day 7]],tblAccommodationCosts[],5,FALSE),0)+IFERROR(VLOOKUP(AS$12&amp;", "&amp;tblData[[#This Row],[Day 8]],tblAccommodationCosts[],5,FALSE),0)+IFERROR(VLOOKUP(AS$12&amp;", "&amp;tblData[[#This Row],[Day 9]],tblAccommodationCosts[],5,FALSE),0)+AccreditationFee*tblData[[#This Row],[Bill Accred Fee]]))+tblData[[#This Row],[Entry Fee]]</f>
        <v>#VALUE!</v>
      </c>
      <c r="AT82" s="324" t="str">
        <f>IFERROR(VLOOKUP(tblData[[#This Row],[Weight Category, Function, and Gender]],tblWeightOrFunction[],3,0),"")</f>
        <v/>
      </c>
      <c r="AU82" s="84" t="str">
        <f>IFERROR(VLOOKUP(tblData[[#This Row],[Weight Category, Function, and Gender]],tblWeightOrFunction[],4,0),"")</f>
        <v/>
      </c>
      <c r="AV82" s="85" t="str">
        <f>IFERROR(VLOOKUP(tblData[[#This Row],[Weight Category, Function, and Gender]],tblWeightOrFunction[],7,0),"")</f>
        <v/>
      </c>
      <c r="AW82" s="84" t="str">
        <f>IFERROR(VLOOKUP(tblData[[#This Row],[Weight Category, Function, and Gender]],tblWeightOrFunction[],6,0),"")</f>
        <v/>
      </c>
      <c r="AX82" s="84" t="str">
        <f>IFERROR(VLOOKUP(tblData[[#This Row],[Weight Category, Function, and Gender]],tblWeightOrFunction[],2,0),"")</f>
        <v/>
      </c>
      <c r="AY82" s="75">
        <f>tblData[[#This Row],[Arr Date]]+tblData[[#This Row],[Arr Time]]</f>
        <v>0</v>
      </c>
      <c r="AZ82" s="75">
        <f>tblData[[#This Row],[Dep Date]]+tblData[[#This Row],[Dep Time]]</f>
        <v>0</v>
      </c>
      <c r="BA82" s="72">
        <f>COUNTIF(tblData[Surname],"&lt;="&amp;tblData[Surname])</f>
        <v>0</v>
      </c>
      <c r="BB82" s="72">
        <f>COUNTIF(tblData[Given name],"&lt;="&amp;tblData[Given name])</f>
        <v>0</v>
      </c>
      <c r="BC82" s="72">
        <f>COUNTIF(tblData[Arr DateTime],"&lt;="&amp;tblData[Arr DateTime])</f>
        <v>110</v>
      </c>
      <c r="BD82" s="72">
        <f>COUNTIF(tblData[Dep DateTime],"&lt;="&amp;tblData[Dep DateTime])</f>
        <v>110</v>
      </c>
      <c r="BE82" s="72">
        <f>COUNTIF(tblData[ShuttleAtDeparture],"&lt;="&amp;tblData[ShuttleAtDeparture])</f>
        <v>0</v>
      </c>
      <c r="BI82" s="6" t="str">
        <f t="array" ref="BI82">IF(ROWS(tblData[[#Headers],[Id]]:tblData[[#This Row],[Id]])-1&gt;$BI$11,"",INDEX(tblData[Id],SMALL(IF(LEN(TRIM(tblData[Surname]))*((tblData[Type]=$BI$9)+(tblData[Type]=$BI$10)),ROW(tblData[Id])-ROW(tblData[[#Headers],[Id]])),ROWS(tblData[[#Headers],[Id]]:tblData[[#This Row],[Id]])-1)))</f>
        <v/>
      </c>
      <c r="BK82" s="6" t="str">
        <f>IF(ROWS(tblCoachesAndOfficialsSorted[[#Headers],[Id]]:tblCoachesAndOfficialsSorted[[#This Row],[Id]])-1&gt;$BK$11,"",SMALL(tblCoachesAndOfficials[Id],ROWS(tblCoachesAndOfficialsSorted[[#Headers],[Id]]:tblCoachesAndOfficialsSorted[[#This Row],[Id]])-1))</f>
        <v/>
      </c>
      <c r="BM82" s="6" t="str">
        <f t="array" ref="BM82">IF(ROWS(tblData[[#Headers],[Id]]:tblData[[#This Row],[Id]])-1&gt;$BM$11,"",INDEX(tblData[Id],SMALL(IF(LEN(TRIM(tblData[Surname]))*(tblData[Type]=$BM$9),ROW(tblData[Id])-ROW(tblData[[#Headers],[Id]])),ROWS(tblData[[#Headers],[Id]]:tblData[[#This Row],[Id]])-1)))</f>
        <v/>
      </c>
      <c r="BO82" s="6" t="str">
        <f>IF(ROWS(tblWomenSorted[[#Headers],[Id]]:tblWomenSorted[[#This Row],[Id]])-1&gt;$BO$11,"",SMALL(tblWomen[Id],ROWS(tblWomenSorted[[#Headers],[Id]]:tblWomenSorted[[#This Row],[Id]])-1))</f>
        <v/>
      </c>
      <c r="BP82" s="17"/>
      <c r="BQ82" s="6" t="str">
        <f t="array" ref="BQ82">IF(ROWS(tblData[[#Headers],[Id]]:tblData[[#This Row],[Id]])-1&gt;$BQ$11,"",INDEX(tblData[Id],SMALL(IF(LEN(TRIM(tblData[Surname]))*(tblData[Type]=$BQ$9),ROW(tblData[Id])-ROW(tblData[[#Headers],[Id]])),ROWS(tblData[[#Headers],[Id]]:tblData[[#This Row],[Id]])-1)))</f>
        <v/>
      </c>
      <c r="BS82" s="6" t="str">
        <f>IF(ROWS(tblMenSorted[[#Headers],[Id]]:tblMenSorted[[#This Row],[Id]])-1&gt;$BS$11,"",SMALL(tblMen[Id],ROWS(tblMenSorted[[#Headers],[Id]]:tblMenSorted[[#This Row],[Id]])-1))</f>
        <v/>
      </c>
      <c r="BU82" s="6" t="str">
        <f t="array" ref="BU82">IF(ROWS(tblData[[#Headers],[Sorted Name Id]]:tblData[[#This Row],[Sorted Name Id]])-1&gt;$BU$11,"",INDEX(tblData[Sorted Name Id],SMALL(IF(LEN(TRIM(tblData[Surname]))*(tblData[Visa required]="YES"),ROW(tblData[Sorted Name Id])-ROW(tblData[[#Headers],[Sorted Name Id]])),ROWS(tblData[[#Headers],[Sorted Name Id]]:tblData[[#This Row],[Sorted Name Id]])-1)))</f>
        <v/>
      </c>
      <c r="BW82" s="6" t="str">
        <f>IF(ROWS(tblVisasSorted[[#Headers],[Id]]:tblVisasSorted[[#This Row],[Id]])-1&gt;$BW$11,"",SMALL(tblVisas[Id],ROWS(tblVisasSorted[[#Headers],[Id]]:tblVisasSorted[[#This Row],[Id]])-1))</f>
        <v/>
      </c>
      <c r="BY82" s="6" t="str">
        <f t="array" ref="BY82">IF(ROWS(tblData[[#Headers],[Sorted Arr Id]]:tblData[[#This Row],[Sorted Arr Id]])-1&gt;$BY$11,"",INDEX(tblData[Sorted Arr Id],SMALL(IF(LEN(TRIM(tblData[Surname]))*(tblData[Arr DateTime]&gt;0),ROW(tblData[Sorted Arr Id])-ROW(tblData[[#Headers],[Sorted Arr Id]])),ROWS(tblData[[#Headers],[Sorted Arr Id]]:tblData[[#This Row],[Sorted Arr Id]])-1)))</f>
        <v/>
      </c>
      <c r="CA82" s="6" t="str">
        <f>IF(ROWS(tblArrivalSorted[[#Headers],[Id]]:tblArrivalSorted[[#This Row],[Id]])-1&gt;$CA$11,"",SMALL(tblArrival[Id],ROWS(tblArrivalSorted[[#Headers],[Id]]:tblArrivalSorted[[#This Row],[Id]])-1))</f>
        <v/>
      </c>
      <c r="CC82" s="6" t="str">
        <f t="array" ref="CC82">IF(ROWS(tblData[[#Headers],[Sorted Dep Id]]:tblData[[#This Row],[Sorted Dep Id]])-1&gt;$CC$11,"",INDEX(tblData[Sorted Dep Id],SMALL(IF(LEN(TRIM(tblData[Surname]))*(tblData[Dep DateTime]&gt;0),ROW(tblData[Sorted Dep Id])-ROW(tblData[[#Headers],[Sorted Dep Id]])),ROWS(tblData[[#Headers],[Sorted Dep Id]]:tblData[[#This Row],[Sorted Dep Id]])-1)))</f>
        <v/>
      </c>
      <c r="CE82" s="6" t="str">
        <f>IF(ROWS(tblDepartureSorted[[#Headers],[Id]]:tblDepartureSorted[[#This Row],[Id]])-1&gt;$CE$11,"",SMALL(tblDeparture[Id],ROWS(tblDepartureSorted[[#Headers],[Id]]:tblDepartureSorted[[#This Row],[Id]])-1))</f>
        <v/>
      </c>
      <c r="CG82" s="6" t="str">
        <f t="array" ref="CG82">IF(ROWS(tblData[[#Headers],[Id]]:tblData[[#This Row],[Id]])-1&gt;$CG$11,"",INDEX(tblData[Id],SMALL(IF(LEN(TRIM(tblData[Surname])),ROW(tblData[Id])-ROW(tblData[[#Headers],[Id]])),ROWS(tblData[[#Headers],[Id]]:tblData[[#This Row],[Id]])-1)))</f>
        <v/>
      </c>
    </row>
    <row r="83" spans="1:85" s="6" customFormat="1">
      <c r="A83" s="14">
        <f>IF(ISNUMBER(tblData[[#This Row],[SubType2]]),tblData[[#This Row],[SubType2]]*10000+tblData[[#This Row],[No]],1000000+tblData[[#This Row],[No]])</f>
        <v>1000070</v>
      </c>
      <c r="B83" s="14">
        <f>IFERROR(tblData[[#This Row],[Surname Rang]]*1000+tblData[[#This Row],[Given Name Rang]]+tblData[[#This Row],[No]]/1000,"")</f>
        <v>7.0000000000000007E-2</v>
      </c>
      <c r="C83" s="14">
        <f>IFERROR(tblData[[#This Row],[Arr DateTime Rang]]+tblData[[#This Row],[No]]/1000,"")</f>
        <v>110.07</v>
      </c>
      <c r="D83" s="14">
        <f>IFERROR(tblData[[#This Row],[Dep DateTime Rang]]+tblData[[#This Row],[No]]/1000,"")</f>
        <v>110.07</v>
      </c>
      <c r="E83" s="362">
        <f t="shared" si="1"/>
        <v>70</v>
      </c>
      <c r="F83" s="370"/>
      <c r="G83" s="331"/>
      <c r="H83" s="328"/>
      <c r="I83" s="329"/>
      <c r="J83" s="330"/>
      <c r="K83" s="369"/>
      <c r="L83" s="375"/>
      <c r="M83" s="331"/>
      <c r="N83" s="331"/>
      <c r="O83" s="331"/>
      <c r="P83" s="329"/>
      <c r="Q83" s="376"/>
      <c r="R83" s="383"/>
      <c r="S83" s="332"/>
      <c r="T83" s="331"/>
      <c r="U83" s="333"/>
      <c r="V83" s="333"/>
      <c r="W83" s="384"/>
      <c r="X83" s="383"/>
      <c r="Y83" s="332"/>
      <c r="Z83" s="331"/>
      <c r="AA83" s="331"/>
      <c r="AB83" s="333"/>
      <c r="AC83" s="384"/>
      <c r="AD83" s="375"/>
      <c r="AE83" s="369"/>
      <c r="AF83" s="397"/>
      <c r="AG83" s="328"/>
      <c r="AH83" s="328"/>
      <c r="AI83" s="328"/>
      <c r="AJ83" s="328"/>
      <c r="AK83" s="328"/>
      <c r="AL83" s="328"/>
      <c r="AM83" s="328"/>
      <c r="AN83" s="398"/>
      <c r="AO83" s="402" t="str">
        <f>IF(ISBLANK(tblData[[#This Row],[Surname]]),"",IF(tblData[[#This Row],[Bill Accred Fee]]=0,"NO","YES"))</f>
        <v/>
      </c>
      <c r="AP83" s="406">
        <f>IF(AND(NOT(ISBLANK(tblData[[#This Row],[Surname]])),COUNTA(tblData[[#This Row],[Day 1]:[Day 9]])=0),1,0)</f>
        <v>0</v>
      </c>
      <c r="AQ83" s="406">
        <f>IF(AND(NOT(ISBLANK(tblData[[#This Row],[Surname]])),tblData[[#This Row],[Position]]="Athlete"),1,0)</f>
        <v>0</v>
      </c>
      <c r="AR83" s="433">
        <f>EntryFee*tblData[[#This Row],[Entry Fee Billable]]</f>
        <v>0</v>
      </c>
      <c r="AS83" s="410" t="e">
        <f>IF(ISBLANK(SelectedCategory),"No Cat!",IF(ISBLANK($F83),0,IFERROR(VLOOKUP(AS$12&amp;", "&amp;tblData[[#This Row],[Day 1]],tblAccommodationCosts[],5,FALSE),0)+IFERROR(VLOOKUP(AS$12&amp;", "&amp;tblData[[#This Row],[Day 2]],tblAccommodationCosts[],5,FALSE),0)+IFERROR(VLOOKUP(AS$12&amp;", "&amp;tblData[[#This Row],[Day 3]],tblAccommodationCosts[],5,FALSE),0)+IFERROR(VLOOKUP(AS$12&amp;", "&amp;tblData[[#This Row],[Day 4]],tblAccommodationCosts[],5,FALSE),0)+IFERROR(VLOOKUP(AS$12&amp;", "&amp;tblData[[#This Row],[Day 5]],tblAccommodationCosts[],5,FALSE),0)+IFERROR(VLOOKUP(AS$12&amp;", "&amp;tblData[[#This Row],[Day 6]],tblAccommodationCosts[],5,FALSE),0)+IFERROR(VLOOKUP(AS$12&amp;", "&amp;tblData[[#This Row],[Day 7]],tblAccommodationCosts[],5,FALSE),0)+IFERROR(VLOOKUP(AS$12&amp;", "&amp;tblData[[#This Row],[Day 8]],tblAccommodationCosts[],5,FALSE),0)+IFERROR(VLOOKUP(AS$12&amp;", "&amp;tblData[[#This Row],[Day 9]],tblAccommodationCosts[],5,FALSE),0)+AccreditationFee*tblData[[#This Row],[Bill Accred Fee]]))+tblData[[#This Row],[Entry Fee]]</f>
        <v>#VALUE!</v>
      </c>
      <c r="AT83" s="324" t="str">
        <f>IFERROR(VLOOKUP(tblData[[#This Row],[Weight Category, Function, and Gender]],tblWeightOrFunction[],3,0),"")</f>
        <v/>
      </c>
      <c r="AU83" s="84" t="str">
        <f>IFERROR(VLOOKUP(tblData[[#This Row],[Weight Category, Function, and Gender]],tblWeightOrFunction[],4,0),"")</f>
        <v/>
      </c>
      <c r="AV83" s="85" t="str">
        <f>IFERROR(VLOOKUP(tblData[[#This Row],[Weight Category, Function, and Gender]],tblWeightOrFunction[],7,0),"")</f>
        <v/>
      </c>
      <c r="AW83" s="84" t="str">
        <f>IFERROR(VLOOKUP(tblData[[#This Row],[Weight Category, Function, and Gender]],tblWeightOrFunction[],6,0),"")</f>
        <v/>
      </c>
      <c r="AX83" s="84" t="str">
        <f>IFERROR(VLOOKUP(tblData[[#This Row],[Weight Category, Function, and Gender]],tblWeightOrFunction[],2,0),"")</f>
        <v/>
      </c>
      <c r="AY83" s="75">
        <f>tblData[[#This Row],[Arr Date]]+tblData[[#This Row],[Arr Time]]</f>
        <v>0</v>
      </c>
      <c r="AZ83" s="75">
        <f>tblData[[#This Row],[Dep Date]]+tblData[[#This Row],[Dep Time]]</f>
        <v>0</v>
      </c>
      <c r="BA83" s="72">
        <f>COUNTIF(tblData[Surname],"&lt;="&amp;tblData[Surname])</f>
        <v>0</v>
      </c>
      <c r="BB83" s="72">
        <f>COUNTIF(tblData[Given name],"&lt;="&amp;tblData[Given name])</f>
        <v>0</v>
      </c>
      <c r="BC83" s="72">
        <f>COUNTIF(tblData[Arr DateTime],"&lt;="&amp;tblData[Arr DateTime])</f>
        <v>110</v>
      </c>
      <c r="BD83" s="72">
        <f>COUNTIF(tblData[Dep DateTime],"&lt;="&amp;tblData[Dep DateTime])</f>
        <v>110</v>
      </c>
      <c r="BE83" s="72">
        <f>COUNTIF(tblData[ShuttleAtDeparture],"&lt;="&amp;tblData[ShuttleAtDeparture])</f>
        <v>0</v>
      </c>
      <c r="BI83" s="6" t="str">
        <f t="array" ref="BI83">IF(ROWS(tblData[[#Headers],[Id]]:tblData[[#This Row],[Id]])-1&gt;$BI$11,"",INDEX(tblData[Id],SMALL(IF(LEN(TRIM(tblData[Surname]))*((tblData[Type]=$BI$9)+(tblData[Type]=$BI$10)),ROW(tblData[Id])-ROW(tblData[[#Headers],[Id]])),ROWS(tblData[[#Headers],[Id]]:tblData[[#This Row],[Id]])-1)))</f>
        <v/>
      </c>
      <c r="BK83" s="6" t="str">
        <f>IF(ROWS(tblCoachesAndOfficialsSorted[[#Headers],[Id]]:tblCoachesAndOfficialsSorted[[#This Row],[Id]])-1&gt;$BK$11,"",SMALL(tblCoachesAndOfficials[Id],ROWS(tblCoachesAndOfficialsSorted[[#Headers],[Id]]:tblCoachesAndOfficialsSorted[[#This Row],[Id]])-1))</f>
        <v/>
      </c>
      <c r="BM83" s="6" t="str">
        <f t="array" ref="BM83">IF(ROWS(tblData[[#Headers],[Id]]:tblData[[#This Row],[Id]])-1&gt;$BM$11,"",INDEX(tblData[Id],SMALL(IF(LEN(TRIM(tblData[Surname]))*(tblData[Type]=$BM$9),ROW(tblData[Id])-ROW(tblData[[#Headers],[Id]])),ROWS(tblData[[#Headers],[Id]]:tblData[[#This Row],[Id]])-1)))</f>
        <v/>
      </c>
      <c r="BO83" s="6" t="str">
        <f>IF(ROWS(tblWomenSorted[[#Headers],[Id]]:tblWomenSorted[[#This Row],[Id]])-1&gt;$BO$11,"",SMALL(tblWomen[Id],ROWS(tblWomenSorted[[#Headers],[Id]]:tblWomenSorted[[#This Row],[Id]])-1))</f>
        <v/>
      </c>
      <c r="BP83" s="17"/>
      <c r="BQ83" s="6" t="str">
        <f t="array" ref="BQ83">IF(ROWS(tblData[[#Headers],[Id]]:tblData[[#This Row],[Id]])-1&gt;$BQ$11,"",INDEX(tblData[Id],SMALL(IF(LEN(TRIM(tblData[Surname]))*(tblData[Type]=$BQ$9),ROW(tblData[Id])-ROW(tblData[[#Headers],[Id]])),ROWS(tblData[[#Headers],[Id]]:tblData[[#This Row],[Id]])-1)))</f>
        <v/>
      </c>
      <c r="BS83" s="6" t="str">
        <f>IF(ROWS(tblMenSorted[[#Headers],[Id]]:tblMenSorted[[#This Row],[Id]])-1&gt;$BS$11,"",SMALL(tblMen[Id],ROWS(tblMenSorted[[#Headers],[Id]]:tblMenSorted[[#This Row],[Id]])-1))</f>
        <v/>
      </c>
      <c r="BU83" s="6" t="str">
        <f t="array" ref="BU83">IF(ROWS(tblData[[#Headers],[Sorted Name Id]]:tblData[[#This Row],[Sorted Name Id]])-1&gt;$BU$11,"",INDEX(tblData[Sorted Name Id],SMALL(IF(LEN(TRIM(tblData[Surname]))*(tblData[Visa required]="YES"),ROW(tblData[Sorted Name Id])-ROW(tblData[[#Headers],[Sorted Name Id]])),ROWS(tblData[[#Headers],[Sorted Name Id]]:tblData[[#This Row],[Sorted Name Id]])-1)))</f>
        <v/>
      </c>
      <c r="BW83" s="6" t="str">
        <f>IF(ROWS(tblVisasSorted[[#Headers],[Id]]:tblVisasSorted[[#This Row],[Id]])-1&gt;$BW$11,"",SMALL(tblVisas[Id],ROWS(tblVisasSorted[[#Headers],[Id]]:tblVisasSorted[[#This Row],[Id]])-1))</f>
        <v/>
      </c>
      <c r="BY83" s="6" t="str">
        <f t="array" ref="BY83">IF(ROWS(tblData[[#Headers],[Sorted Arr Id]]:tblData[[#This Row],[Sorted Arr Id]])-1&gt;$BY$11,"",INDEX(tblData[Sorted Arr Id],SMALL(IF(LEN(TRIM(tblData[Surname]))*(tblData[Arr DateTime]&gt;0),ROW(tblData[Sorted Arr Id])-ROW(tblData[[#Headers],[Sorted Arr Id]])),ROWS(tblData[[#Headers],[Sorted Arr Id]]:tblData[[#This Row],[Sorted Arr Id]])-1)))</f>
        <v/>
      </c>
      <c r="CA83" s="6" t="str">
        <f>IF(ROWS(tblArrivalSorted[[#Headers],[Id]]:tblArrivalSorted[[#This Row],[Id]])-1&gt;$CA$11,"",SMALL(tblArrival[Id],ROWS(tblArrivalSorted[[#Headers],[Id]]:tblArrivalSorted[[#This Row],[Id]])-1))</f>
        <v/>
      </c>
      <c r="CC83" s="6" t="str">
        <f t="array" ref="CC83">IF(ROWS(tblData[[#Headers],[Sorted Dep Id]]:tblData[[#This Row],[Sorted Dep Id]])-1&gt;$CC$11,"",INDEX(tblData[Sorted Dep Id],SMALL(IF(LEN(TRIM(tblData[Surname]))*(tblData[Dep DateTime]&gt;0),ROW(tblData[Sorted Dep Id])-ROW(tblData[[#Headers],[Sorted Dep Id]])),ROWS(tblData[[#Headers],[Sorted Dep Id]]:tblData[[#This Row],[Sorted Dep Id]])-1)))</f>
        <v/>
      </c>
      <c r="CE83" s="6" t="str">
        <f>IF(ROWS(tblDepartureSorted[[#Headers],[Id]]:tblDepartureSorted[[#This Row],[Id]])-1&gt;$CE$11,"",SMALL(tblDeparture[Id],ROWS(tblDepartureSorted[[#Headers],[Id]]:tblDepartureSorted[[#This Row],[Id]])-1))</f>
        <v/>
      </c>
      <c r="CG83" s="6" t="str">
        <f t="array" ref="CG83">IF(ROWS(tblData[[#Headers],[Id]]:tblData[[#This Row],[Id]])-1&gt;$CG$11,"",INDEX(tblData[Id],SMALL(IF(LEN(TRIM(tblData[Surname])),ROW(tblData[Id])-ROW(tblData[[#Headers],[Id]])),ROWS(tblData[[#Headers],[Id]]:tblData[[#This Row],[Id]])-1)))</f>
        <v/>
      </c>
    </row>
    <row r="84" spans="1:85" s="6" customFormat="1">
      <c r="A84" s="14">
        <f>IF(ISNUMBER(tblData[[#This Row],[SubType2]]),tblData[[#This Row],[SubType2]]*10000+tblData[[#This Row],[No]],1000000+tblData[[#This Row],[No]])</f>
        <v>1000071</v>
      </c>
      <c r="B84" s="14">
        <f>IFERROR(tblData[[#This Row],[Surname Rang]]*1000+tblData[[#This Row],[Given Name Rang]]+tblData[[#This Row],[No]]/1000,"")</f>
        <v>7.0999999999999994E-2</v>
      </c>
      <c r="C84" s="14">
        <f>IFERROR(tblData[[#This Row],[Arr DateTime Rang]]+tblData[[#This Row],[No]]/1000,"")</f>
        <v>110.071</v>
      </c>
      <c r="D84" s="14">
        <f>IFERROR(tblData[[#This Row],[Dep DateTime Rang]]+tblData[[#This Row],[No]]/1000,"")</f>
        <v>110.071</v>
      </c>
      <c r="E84" s="362">
        <f t="shared" si="1"/>
        <v>71</v>
      </c>
      <c r="F84" s="370"/>
      <c r="G84" s="331"/>
      <c r="H84" s="328"/>
      <c r="I84" s="329"/>
      <c r="J84" s="330"/>
      <c r="K84" s="369"/>
      <c r="L84" s="375"/>
      <c r="M84" s="331"/>
      <c r="N84" s="331"/>
      <c r="O84" s="331"/>
      <c r="P84" s="329"/>
      <c r="Q84" s="376"/>
      <c r="R84" s="383"/>
      <c r="S84" s="332"/>
      <c r="T84" s="331"/>
      <c r="U84" s="333"/>
      <c r="V84" s="333"/>
      <c r="W84" s="384"/>
      <c r="X84" s="383"/>
      <c r="Y84" s="332"/>
      <c r="Z84" s="331"/>
      <c r="AA84" s="331"/>
      <c r="AB84" s="333"/>
      <c r="AC84" s="384"/>
      <c r="AD84" s="375"/>
      <c r="AE84" s="369"/>
      <c r="AF84" s="397"/>
      <c r="AG84" s="328"/>
      <c r="AH84" s="328"/>
      <c r="AI84" s="328"/>
      <c r="AJ84" s="328"/>
      <c r="AK84" s="328"/>
      <c r="AL84" s="328"/>
      <c r="AM84" s="328"/>
      <c r="AN84" s="398"/>
      <c r="AO84" s="402" t="str">
        <f>IF(ISBLANK(tblData[[#This Row],[Surname]]),"",IF(tblData[[#This Row],[Bill Accred Fee]]=0,"NO","YES"))</f>
        <v/>
      </c>
      <c r="AP84" s="406">
        <f>IF(AND(NOT(ISBLANK(tblData[[#This Row],[Surname]])),COUNTA(tblData[[#This Row],[Day 1]:[Day 9]])=0),1,0)</f>
        <v>0</v>
      </c>
      <c r="AQ84" s="406">
        <f>IF(AND(NOT(ISBLANK(tblData[[#This Row],[Surname]])),tblData[[#This Row],[Position]]="Athlete"),1,0)</f>
        <v>0</v>
      </c>
      <c r="AR84" s="433">
        <f>EntryFee*tblData[[#This Row],[Entry Fee Billable]]</f>
        <v>0</v>
      </c>
      <c r="AS84" s="410" t="e">
        <f>IF(ISBLANK(SelectedCategory),"No Cat!",IF(ISBLANK($F84),0,IFERROR(VLOOKUP(AS$12&amp;", "&amp;tblData[[#This Row],[Day 1]],tblAccommodationCosts[],5,FALSE),0)+IFERROR(VLOOKUP(AS$12&amp;", "&amp;tblData[[#This Row],[Day 2]],tblAccommodationCosts[],5,FALSE),0)+IFERROR(VLOOKUP(AS$12&amp;", "&amp;tblData[[#This Row],[Day 3]],tblAccommodationCosts[],5,FALSE),0)+IFERROR(VLOOKUP(AS$12&amp;", "&amp;tblData[[#This Row],[Day 4]],tblAccommodationCosts[],5,FALSE),0)+IFERROR(VLOOKUP(AS$12&amp;", "&amp;tblData[[#This Row],[Day 5]],tblAccommodationCosts[],5,FALSE),0)+IFERROR(VLOOKUP(AS$12&amp;", "&amp;tblData[[#This Row],[Day 6]],tblAccommodationCosts[],5,FALSE),0)+IFERROR(VLOOKUP(AS$12&amp;", "&amp;tblData[[#This Row],[Day 7]],tblAccommodationCosts[],5,FALSE),0)+IFERROR(VLOOKUP(AS$12&amp;", "&amp;tblData[[#This Row],[Day 8]],tblAccommodationCosts[],5,FALSE),0)+IFERROR(VLOOKUP(AS$12&amp;", "&amp;tblData[[#This Row],[Day 9]],tblAccommodationCosts[],5,FALSE),0)+AccreditationFee*tblData[[#This Row],[Bill Accred Fee]]))+tblData[[#This Row],[Entry Fee]]</f>
        <v>#VALUE!</v>
      </c>
      <c r="AT84" s="324" t="str">
        <f>IFERROR(VLOOKUP(tblData[[#This Row],[Weight Category, Function, and Gender]],tblWeightOrFunction[],3,0),"")</f>
        <v/>
      </c>
      <c r="AU84" s="84" t="str">
        <f>IFERROR(VLOOKUP(tblData[[#This Row],[Weight Category, Function, and Gender]],tblWeightOrFunction[],4,0),"")</f>
        <v/>
      </c>
      <c r="AV84" s="85" t="str">
        <f>IFERROR(VLOOKUP(tblData[[#This Row],[Weight Category, Function, and Gender]],tblWeightOrFunction[],7,0),"")</f>
        <v/>
      </c>
      <c r="AW84" s="84" t="str">
        <f>IFERROR(VLOOKUP(tblData[[#This Row],[Weight Category, Function, and Gender]],tblWeightOrFunction[],6,0),"")</f>
        <v/>
      </c>
      <c r="AX84" s="84" t="str">
        <f>IFERROR(VLOOKUP(tblData[[#This Row],[Weight Category, Function, and Gender]],tblWeightOrFunction[],2,0),"")</f>
        <v/>
      </c>
      <c r="AY84" s="75">
        <f>tblData[[#This Row],[Arr Date]]+tblData[[#This Row],[Arr Time]]</f>
        <v>0</v>
      </c>
      <c r="AZ84" s="75">
        <f>tblData[[#This Row],[Dep Date]]+tblData[[#This Row],[Dep Time]]</f>
        <v>0</v>
      </c>
      <c r="BA84" s="72">
        <f>COUNTIF(tblData[Surname],"&lt;="&amp;tblData[Surname])</f>
        <v>0</v>
      </c>
      <c r="BB84" s="72">
        <f>COUNTIF(tblData[Given name],"&lt;="&amp;tblData[Given name])</f>
        <v>0</v>
      </c>
      <c r="BC84" s="72">
        <f>COUNTIF(tblData[Arr DateTime],"&lt;="&amp;tblData[Arr DateTime])</f>
        <v>110</v>
      </c>
      <c r="BD84" s="72">
        <f>COUNTIF(tblData[Dep DateTime],"&lt;="&amp;tblData[Dep DateTime])</f>
        <v>110</v>
      </c>
      <c r="BE84" s="72">
        <f>COUNTIF(tblData[ShuttleAtDeparture],"&lt;="&amp;tblData[ShuttleAtDeparture])</f>
        <v>0</v>
      </c>
      <c r="BI84" s="6" t="str">
        <f t="array" ref="BI84">IF(ROWS(tblData[[#Headers],[Id]]:tblData[[#This Row],[Id]])-1&gt;$BI$11,"",INDEX(tblData[Id],SMALL(IF(LEN(TRIM(tblData[Surname]))*((tblData[Type]=$BI$9)+(tblData[Type]=$BI$10)),ROW(tblData[Id])-ROW(tblData[[#Headers],[Id]])),ROWS(tblData[[#Headers],[Id]]:tblData[[#This Row],[Id]])-1)))</f>
        <v/>
      </c>
      <c r="BK84" s="6" t="str">
        <f>IF(ROWS(tblCoachesAndOfficialsSorted[[#Headers],[Id]]:tblCoachesAndOfficialsSorted[[#This Row],[Id]])-1&gt;$BK$11,"",SMALL(tblCoachesAndOfficials[Id],ROWS(tblCoachesAndOfficialsSorted[[#Headers],[Id]]:tblCoachesAndOfficialsSorted[[#This Row],[Id]])-1))</f>
        <v/>
      </c>
      <c r="BM84" s="6" t="str">
        <f t="array" ref="BM84">IF(ROWS(tblData[[#Headers],[Id]]:tblData[[#This Row],[Id]])-1&gt;$BM$11,"",INDEX(tblData[Id],SMALL(IF(LEN(TRIM(tblData[Surname]))*(tblData[Type]=$BM$9),ROW(tblData[Id])-ROW(tblData[[#Headers],[Id]])),ROWS(tblData[[#Headers],[Id]]:tblData[[#This Row],[Id]])-1)))</f>
        <v/>
      </c>
      <c r="BO84" s="6" t="str">
        <f>IF(ROWS(tblWomenSorted[[#Headers],[Id]]:tblWomenSorted[[#This Row],[Id]])-1&gt;$BO$11,"",SMALL(tblWomen[Id],ROWS(tblWomenSorted[[#Headers],[Id]]:tblWomenSorted[[#This Row],[Id]])-1))</f>
        <v/>
      </c>
      <c r="BP84" s="17"/>
      <c r="BQ84" s="6" t="str">
        <f t="array" ref="BQ84">IF(ROWS(tblData[[#Headers],[Id]]:tblData[[#This Row],[Id]])-1&gt;$BQ$11,"",INDEX(tblData[Id],SMALL(IF(LEN(TRIM(tblData[Surname]))*(tblData[Type]=$BQ$9),ROW(tblData[Id])-ROW(tblData[[#Headers],[Id]])),ROWS(tblData[[#Headers],[Id]]:tblData[[#This Row],[Id]])-1)))</f>
        <v/>
      </c>
      <c r="BS84" s="6" t="str">
        <f>IF(ROWS(tblMenSorted[[#Headers],[Id]]:tblMenSorted[[#This Row],[Id]])-1&gt;$BS$11,"",SMALL(tblMen[Id],ROWS(tblMenSorted[[#Headers],[Id]]:tblMenSorted[[#This Row],[Id]])-1))</f>
        <v/>
      </c>
      <c r="BU84" s="6" t="str">
        <f t="array" ref="BU84">IF(ROWS(tblData[[#Headers],[Sorted Name Id]]:tblData[[#This Row],[Sorted Name Id]])-1&gt;$BU$11,"",INDEX(tblData[Sorted Name Id],SMALL(IF(LEN(TRIM(tblData[Surname]))*(tblData[Visa required]="YES"),ROW(tblData[Sorted Name Id])-ROW(tblData[[#Headers],[Sorted Name Id]])),ROWS(tblData[[#Headers],[Sorted Name Id]]:tblData[[#This Row],[Sorted Name Id]])-1)))</f>
        <v/>
      </c>
      <c r="BW84" s="6" t="str">
        <f>IF(ROWS(tblVisasSorted[[#Headers],[Id]]:tblVisasSorted[[#This Row],[Id]])-1&gt;$BW$11,"",SMALL(tblVisas[Id],ROWS(tblVisasSorted[[#Headers],[Id]]:tblVisasSorted[[#This Row],[Id]])-1))</f>
        <v/>
      </c>
      <c r="BY84" s="6" t="str">
        <f t="array" ref="BY84">IF(ROWS(tblData[[#Headers],[Sorted Arr Id]]:tblData[[#This Row],[Sorted Arr Id]])-1&gt;$BY$11,"",INDEX(tblData[Sorted Arr Id],SMALL(IF(LEN(TRIM(tblData[Surname]))*(tblData[Arr DateTime]&gt;0),ROW(tblData[Sorted Arr Id])-ROW(tblData[[#Headers],[Sorted Arr Id]])),ROWS(tblData[[#Headers],[Sorted Arr Id]]:tblData[[#This Row],[Sorted Arr Id]])-1)))</f>
        <v/>
      </c>
      <c r="CA84" s="6" t="str">
        <f>IF(ROWS(tblArrivalSorted[[#Headers],[Id]]:tblArrivalSorted[[#This Row],[Id]])-1&gt;$CA$11,"",SMALL(tblArrival[Id],ROWS(tblArrivalSorted[[#Headers],[Id]]:tblArrivalSorted[[#This Row],[Id]])-1))</f>
        <v/>
      </c>
      <c r="CC84" s="6" t="str">
        <f t="array" ref="CC84">IF(ROWS(tblData[[#Headers],[Sorted Dep Id]]:tblData[[#This Row],[Sorted Dep Id]])-1&gt;$CC$11,"",INDEX(tblData[Sorted Dep Id],SMALL(IF(LEN(TRIM(tblData[Surname]))*(tblData[Dep DateTime]&gt;0),ROW(tblData[Sorted Dep Id])-ROW(tblData[[#Headers],[Sorted Dep Id]])),ROWS(tblData[[#Headers],[Sorted Dep Id]]:tblData[[#This Row],[Sorted Dep Id]])-1)))</f>
        <v/>
      </c>
      <c r="CE84" s="6" t="str">
        <f>IF(ROWS(tblDepartureSorted[[#Headers],[Id]]:tblDepartureSorted[[#This Row],[Id]])-1&gt;$CE$11,"",SMALL(tblDeparture[Id],ROWS(tblDepartureSorted[[#Headers],[Id]]:tblDepartureSorted[[#This Row],[Id]])-1))</f>
        <v/>
      </c>
      <c r="CG84" s="6" t="str">
        <f t="array" ref="CG84">IF(ROWS(tblData[[#Headers],[Id]]:tblData[[#This Row],[Id]])-1&gt;$CG$11,"",INDEX(tblData[Id],SMALL(IF(LEN(TRIM(tblData[Surname])),ROW(tblData[Id])-ROW(tblData[[#Headers],[Id]])),ROWS(tblData[[#Headers],[Id]]:tblData[[#This Row],[Id]])-1)))</f>
        <v/>
      </c>
    </row>
    <row r="85" spans="1:85" s="6" customFormat="1">
      <c r="A85" s="14">
        <f>IF(ISNUMBER(tblData[[#This Row],[SubType2]]),tblData[[#This Row],[SubType2]]*10000+tblData[[#This Row],[No]],1000000+tblData[[#This Row],[No]])</f>
        <v>1000072</v>
      </c>
      <c r="B85" s="14">
        <f>IFERROR(tblData[[#This Row],[Surname Rang]]*1000+tblData[[#This Row],[Given Name Rang]]+tblData[[#This Row],[No]]/1000,"")</f>
        <v>7.1999999999999995E-2</v>
      </c>
      <c r="C85" s="14">
        <f>IFERROR(tblData[[#This Row],[Arr DateTime Rang]]+tblData[[#This Row],[No]]/1000,"")</f>
        <v>110.072</v>
      </c>
      <c r="D85" s="14">
        <f>IFERROR(tblData[[#This Row],[Dep DateTime Rang]]+tblData[[#This Row],[No]]/1000,"")</f>
        <v>110.072</v>
      </c>
      <c r="E85" s="362">
        <f t="shared" si="1"/>
        <v>72</v>
      </c>
      <c r="F85" s="370"/>
      <c r="G85" s="331"/>
      <c r="H85" s="328"/>
      <c r="I85" s="329"/>
      <c r="J85" s="330"/>
      <c r="K85" s="369"/>
      <c r="L85" s="375"/>
      <c r="M85" s="331"/>
      <c r="N85" s="331"/>
      <c r="O85" s="331"/>
      <c r="P85" s="329"/>
      <c r="Q85" s="376"/>
      <c r="R85" s="383"/>
      <c r="S85" s="332"/>
      <c r="T85" s="331"/>
      <c r="U85" s="333"/>
      <c r="V85" s="333"/>
      <c r="W85" s="384"/>
      <c r="X85" s="383"/>
      <c r="Y85" s="332"/>
      <c r="Z85" s="331"/>
      <c r="AA85" s="331"/>
      <c r="AB85" s="333"/>
      <c r="AC85" s="384"/>
      <c r="AD85" s="375"/>
      <c r="AE85" s="369"/>
      <c r="AF85" s="397"/>
      <c r="AG85" s="328"/>
      <c r="AH85" s="328"/>
      <c r="AI85" s="328"/>
      <c r="AJ85" s="328"/>
      <c r="AK85" s="328"/>
      <c r="AL85" s="328"/>
      <c r="AM85" s="328"/>
      <c r="AN85" s="398"/>
      <c r="AO85" s="402" t="str">
        <f>IF(ISBLANK(tblData[[#This Row],[Surname]]),"",IF(tblData[[#This Row],[Bill Accred Fee]]=0,"NO","YES"))</f>
        <v/>
      </c>
      <c r="AP85" s="406">
        <f>IF(AND(NOT(ISBLANK(tblData[[#This Row],[Surname]])),COUNTA(tblData[[#This Row],[Day 1]:[Day 9]])=0),1,0)</f>
        <v>0</v>
      </c>
      <c r="AQ85" s="406">
        <f>IF(AND(NOT(ISBLANK(tblData[[#This Row],[Surname]])),tblData[[#This Row],[Position]]="Athlete"),1,0)</f>
        <v>0</v>
      </c>
      <c r="AR85" s="433">
        <f>EntryFee*tblData[[#This Row],[Entry Fee Billable]]</f>
        <v>0</v>
      </c>
      <c r="AS85" s="410" t="e">
        <f>IF(ISBLANK(SelectedCategory),"No Cat!",IF(ISBLANK($F85),0,IFERROR(VLOOKUP(AS$12&amp;", "&amp;tblData[[#This Row],[Day 1]],tblAccommodationCosts[],5,FALSE),0)+IFERROR(VLOOKUP(AS$12&amp;", "&amp;tblData[[#This Row],[Day 2]],tblAccommodationCosts[],5,FALSE),0)+IFERROR(VLOOKUP(AS$12&amp;", "&amp;tblData[[#This Row],[Day 3]],tblAccommodationCosts[],5,FALSE),0)+IFERROR(VLOOKUP(AS$12&amp;", "&amp;tblData[[#This Row],[Day 4]],tblAccommodationCosts[],5,FALSE),0)+IFERROR(VLOOKUP(AS$12&amp;", "&amp;tblData[[#This Row],[Day 5]],tblAccommodationCosts[],5,FALSE),0)+IFERROR(VLOOKUP(AS$12&amp;", "&amp;tblData[[#This Row],[Day 6]],tblAccommodationCosts[],5,FALSE),0)+IFERROR(VLOOKUP(AS$12&amp;", "&amp;tblData[[#This Row],[Day 7]],tblAccommodationCosts[],5,FALSE),0)+IFERROR(VLOOKUP(AS$12&amp;", "&amp;tblData[[#This Row],[Day 8]],tblAccommodationCosts[],5,FALSE),0)+IFERROR(VLOOKUP(AS$12&amp;", "&amp;tblData[[#This Row],[Day 9]],tblAccommodationCosts[],5,FALSE),0)+AccreditationFee*tblData[[#This Row],[Bill Accred Fee]]))+tblData[[#This Row],[Entry Fee]]</f>
        <v>#VALUE!</v>
      </c>
      <c r="AT85" s="324" t="str">
        <f>IFERROR(VLOOKUP(tblData[[#This Row],[Weight Category, Function, and Gender]],tblWeightOrFunction[],3,0),"")</f>
        <v/>
      </c>
      <c r="AU85" s="84" t="str">
        <f>IFERROR(VLOOKUP(tblData[[#This Row],[Weight Category, Function, and Gender]],tblWeightOrFunction[],4,0),"")</f>
        <v/>
      </c>
      <c r="AV85" s="85" t="str">
        <f>IFERROR(VLOOKUP(tblData[[#This Row],[Weight Category, Function, and Gender]],tblWeightOrFunction[],7,0),"")</f>
        <v/>
      </c>
      <c r="AW85" s="84" t="str">
        <f>IFERROR(VLOOKUP(tblData[[#This Row],[Weight Category, Function, and Gender]],tblWeightOrFunction[],6,0),"")</f>
        <v/>
      </c>
      <c r="AX85" s="84" t="str">
        <f>IFERROR(VLOOKUP(tblData[[#This Row],[Weight Category, Function, and Gender]],tblWeightOrFunction[],2,0),"")</f>
        <v/>
      </c>
      <c r="AY85" s="75">
        <f>tblData[[#This Row],[Arr Date]]+tblData[[#This Row],[Arr Time]]</f>
        <v>0</v>
      </c>
      <c r="AZ85" s="75">
        <f>tblData[[#This Row],[Dep Date]]+tblData[[#This Row],[Dep Time]]</f>
        <v>0</v>
      </c>
      <c r="BA85" s="72">
        <f>COUNTIF(tblData[Surname],"&lt;="&amp;tblData[Surname])</f>
        <v>0</v>
      </c>
      <c r="BB85" s="72">
        <f>COUNTIF(tblData[Given name],"&lt;="&amp;tblData[Given name])</f>
        <v>0</v>
      </c>
      <c r="BC85" s="72">
        <f>COUNTIF(tblData[Arr DateTime],"&lt;="&amp;tblData[Arr DateTime])</f>
        <v>110</v>
      </c>
      <c r="BD85" s="72">
        <f>COUNTIF(tblData[Dep DateTime],"&lt;="&amp;tblData[Dep DateTime])</f>
        <v>110</v>
      </c>
      <c r="BE85" s="72">
        <f>COUNTIF(tblData[ShuttleAtDeparture],"&lt;="&amp;tblData[ShuttleAtDeparture])</f>
        <v>0</v>
      </c>
      <c r="BI85" s="6" t="str">
        <f t="array" ref="BI85">IF(ROWS(tblData[[#Headers],[Id]]:tblData[[#This Row],[Id]])-1&gt;$BI$11,"",INDEX(tblData[Id],SMALL(IF(LEN(TRIM(tblData[Surname]))*((tblData[Type]=$BI$9)+(tblData[Type]=$BI$10)),ROW(tblData[Id])-ROW(tblData[[#Headers],[Id]])),ROWS(tblData[[#Headers],[Id]]:tblData[[#This Row],[Id]])-1)))</f>
        <v/>
      </c>
      <c r="BK85" s="6" t="str">
        <f>IF(ROWS(tblCoachesAndOfficialsSorted[[#Headers],[Id]]:tblCoachesAndOfficialsSorted[[#This Row],[Id]])-1&gt;$BK$11,"",SMALL(tblCoachesAndOfficials[Id],ROWS(tblCoachesAndOfficialsSorted[[#Headers],[Id]]:tblCoachesAndOfficialsSorted[[#This Row],[Id]])-1))</f>
        <v/>
      </c>
      <c r="BM85" s="6" t="str">
        <f t="array" ref="BM85">IF(ROWS(tblData[[#Headers],[Id]]:tblData[[#This Row],[Id]])-1&gt;$BM$11,"",INDEX(tblData[Id],SMALL(IF(LEN(TRIM(tblData[Surname]))*(tblData[Type]=$BM$9),ROW(tblData[Id])-ROW(tblData[[#Headers],[Id]])),ROWS(tblData[[#Headers],[Id]]:tblData[[#This Row],[Id]])-1)))</f>
        <v/>
      </c>
      <c r="BO85" s="6" t="str">
        <f>IF(ROWS(tblWomenSorted[[#Headers],[Id]]:tblWomenSorted[[#This Row],[Id]])-1&gt;$BO$11,"",SMALL(tblWomen[Id],ROWS(tblWomenSorted[[#Headers],[Id]]:tblWomenSorted[[#This Row],[Id]])-1))</f>
        <v/>
      </c>
      <c r="BP85" s="17"/>
      <c r="BQ85" s="6" t="str">
        <f t="array" ref="BQ85">IF(ROWS(tblData[[#Headers],[Id]]:tblData[[#This Row],[Id]])-1&gt;$BQ$11,"",INDEX(tblData[Id],SMALL(IF(LEN(TRIM(tblData[Surname]))*(tblData[Type]=$BQ$9),ROW(tblData[Id])-ROW(tblData[[#Headers],[Id]])),ROWS(tblData[[#Headers],[Id]]:tblData[[#This Row],[Id]])-1)))</f>
        <v/>
      </c>
      <c r="BS85" s="6" t="str">
        <f>IF(ROWS(tblMenSorted[[#Headers],[Id]]:tblMenSorted[[#This Row],[Id]])-1&gt;$BS$11,"",SMALL(tblMen[Id],ROWS(tblMenSorted[[#Headers],[Id]]:tblMenSorted[[#This Row],[Id]])-1))</f>
        <v/>
      </c>
      <c r="BU85" s="6" t="str">
        <f t="array" ref="BU85">IF(ROWS(tblData[[#Headers],[Sorted Name Id]]:tblData[[#This Row],[Sorted Name Id]])-1&gt;$BU$11,"",INDEX(tblData[Sorted Name Id],SMALL(IF(LEN(TRIM(tblData[Surname]))*(tblData[Visa required]="YES"),ROW(tblData[Sorted Name Id])-ROW(tblData[[#Headers],[Sorted Name Id]])),ROWS(tblData[[#Headers],[Sorted Name Id]]:tblData[[#This Row],[Sorted Name Id]])-1)))</f>
        <v/>
      </c>
      <c r="BW85" s="6" t="str">
        <f>IF(ROWS(tblVisasSorted[[#Headers],[Id]]:tblVisasSorted[[#This Row],[Id]])-1&gt;$BW$11,"",SMALL(tblVisas[Id],ROWS(tblVisasSorted[[#Headers],[Id]]:tblVisasSorted[[#This Row],[Id]])-1))</f>
        <v/>
      </c>
      <c r="BY85" s="6" t="str">
        <f t="array" ref="BY85">IF(ROWS(tblData[[#Headers],[Sorted Arr Id]]:tblData[[#This Row],[Sorted Arr Id]])-1&gt;$BY$11,"",INDEX(tblData[Sorted Arr Id],SMALL(IF(LEN(TRIM(tblData[Surname]))*(tblData[Arr DateTime]&gt;0),ROW(tblData[Sorted Arr Id])-ROW(tblData[[#Headers],[Sorted Arr Id]])),ROWS(tblData[[#Headers],[Sorted Arr Id]]:tblData[[#This Row],[Sorted Arr Id]])-1)))</f>
        <v/>
      </c>
      <c r="CA85" s="6" t="str">
        <f>IF(ROWS(tblArrivalSorted[[#Headers],[Id]]:tblArrivalSorted[[#This Row],[Id]])-1&gt;$CA$11,"",SMALL(tblArrival[Id],ROWS(tblArrivalSorted[[#Headers],[Id]]:tblArrivalSorted[[#This Row],[Id]])-1))</f>
        <v/>
      </c>
      <c r="CC85" s="6" t="str">
        <f t="array" ref="CC85">IF(ROWS(tblData[[#Headers],[Sorted Dep Id]]:tblData[[#This Row],[Sorted Dep Id]])-1&gt;$CC$11,"",INDEX(tblData[Sorted Dep Id],SMALL(IF(LEN(TRIM(tblData[Surname]))*(tblData[Dep DateTime]&gt;0),ROW(tblData[Sorted Dep Id])-ROW(tblData[[#Headers],[Sorted Dep Id]])),ROWS(tblData[[#Headers],[Sorted Dep Id]]:tblData[[#This Row],[Sorted Dep Id]])-1)))</f>
        <v/>
      </c>
      <c r="CE85" s="6" t="str">
        <f>IF(ROWS(tblDepartureSorted[[#Headers],[Id]]:tblDepartureSorted[[#This Row],[Id]])-1&gt;$CE$11,"",SMALL(tblDeparture[Id],ROWS(tblDepartureSorted[[#Headers],[Id]]:tblDepartureSorted[[#This Row],[Id]])-1))</f>
        <v/>
      </c>
      <c r="CG85" s="6" t="str">
        <f t="array" ref="CG85">IF(ROWS(tblData[[#Headers],[Id]]:tblData[[#This Row],[Id]])-1&gt;$CG$11,"",INDEX(tblData[Id],SMALL(IF(LEN(TRIM(tblData[Surname])),ROW(tblData[Id])-ROW(tblData[[#Headers],[Id]])),ROWS(tblData[[#Headers],[Id]]:tblData[[#This Row],[Id]])-1)))</f>
        <v/>
      </c>
    </row>
    <row r="86" spans="1:85" s="6" customFormat="1">
      <c r="A86" s="14">
        <f>IF(ISNUMBER(tblData[[#This Row],[SubType2]]),tblData[[#This Row],[SubType2]]*10000+tblData[[#This Row],[No]],1000000+tblData[[#This Row],[No]])</f>
        <v>1000073</v>
      </c>
      <c r="B86" s="14">
        <f>IFERROR(tblData[[#This Row],[Surname Rang]]*1000+tblData[[#This Row],[Given Name Rang]]+tblData[[#This Row],[No]]/1000,"")</f>
        <v>7.2999999999999995E-2</v>
      </c>
      <c r="C86" s="14">
        <f>IFERROR(tblData[[#This Row],[Arr DateTime Rang]]+tblData[[#This Row],[No]]/1000,"")</f>
        <v>110.07299999999999</v>
      </c>
      <c r="D86" s="14">
        <f>IFERROR(tblData[[#This Row],[Dep DateTime Rang]]+tblData[[#This Row],[No]]/1000,"")</f>
        <v>110.07299999999999</v>
      </c>
      <c r="E86" s="362">
        <f t="shared" si="1"/>
        <v>73</v>
      </c>
      <c r="F86" s="370"/>
      <c r="G86" s="331"/>
      <c r="H86" s="328"/>
      <c r="I86" s="329"/>
      <c r="J86" s="330"/>
      <c r="K86" s="369"/>
      <c r="L86" s="375"/>
      <c r="M86" s="331"/>
      <c r="N86" s="331"/>
      <c r="O86" s="331"/>
      <c r="P86" s="329"/>
      <c r="Q86" s="376"/>
      <c r="R86" s="383"/>
      <c r="S86" s="332"/>
      <c r="T86" s="331"/>
      <c r="U86" s="333"/>
      <c r="V86" s="333"/>
      <c r="W86" s="384"/>
      <c r="X86" s="383"/>
      <c r="Y86" s="332"/>
      <c r="Z86" s="331"/>
      <c r="AA86" s="331"/>
      <c r="AB86" s="333"/>
      <c r="AC86" s="384"/>
      <c r="AD86" s="375"/>
      <c r="AE86" s="369"/>
      <c r="AF86" s="397"/>
      <c r="AG86" s="328"/>
      <c r="AH86" s="328"/>
      <c r="AI86" s="328"/>
      <c r="AJ86" s="328"/>
      <c r="AK86" s="328"/>
      <c r="AL86" s="328"/>
      <c r="AM86" s="328"/>
      <c r="AN86" s="398"/>
      <c r="AO86" s="402" t="str">
        <f>IF(ISBLANK(tblData[[#This Row],[Surname]]),"",IF(tblData[[#This Row],[Bill Accred Fee]]=0,"NO","YES"))</f>
        <v/>
      </c>
      <c r="AP86" s="406">
        <f>IF(AND(NOT(ISBLANK(tblData[[#This Row],[Surname]])),COUNTA(tblData[[#This Row],[Day 1]:[Day 9]])=0),1,0)</f>
        <v>0</v>
      </c>
      <c r="AQ86" s="406">
        <f>IF(AND(NOT(ISBLANK(tblData[[#This Row],[Surname]])),tblData[[#This Row],[Position]]="Athlete"),1,0)</f>
        <v>0</v>
      </c>
      <c r="AR86" s="433">
        <f>EntryFee*tblData[[#This Row],[Entry Fee Billable]]</f>
        <v>0</v>
      </c>
      <c r="AS86" s="410" t="e">
        <f>IF(ISBLANK(SelectedCategory),"No Cat!",IF(ISBLANK($F86),0,IFERROR(VLOOKUP(AS$12&amp;", "&amp;tblData[[#This Row],[Day 1]],tblAccommodationCosts[],5,FALSE),0)+IFERROR(VLOOKUP(AS$12&amp;", "&amp;tblData[[#This Row],[Day 2]],tblAccommodationCosts[],5,FALSE),0)+IFERROR(VLOOKUP(AS$12&amp;", "&amp;tblData[[#This Row],[Day 3]],tblAccommodationCosts[],5,FALSE),0)+IFERROR(VLOOKUP(AS$12&amp;", "&amp;tblData[[#This Row],[Day 4]],tblAccommodationCosts[],5,FALSE),0)+IFERROR(VLOOKUP(AS$12&amp;", "&amp;tblData[[#This Row],[Day 5]],tblAccommodationCosts[],5,FALSE),0)+IFERROR(VLOOKUP(AS$12&amp;", "&amp;tblData[[#This Row],[Day 6]],tblAccommodationCosts[],5,FALSE),0)+IFERROR(VLOOKUP(AS$12&amp;", "&amp;tblData[[#This Row],[Day 7]],tblAccommodationCosts[],5,FALSE),0)+IFERROR(VLOOKUP(AS$12&amp;", "&amp;tblData[[#This Row],[Day 8]],tblAccommodationCosts[],5,FALSE),0)+IFERROR(VLOOKUP(AS$12&amp;", "&amp;tblData[[#This Row],[Day 9]],tblAccommodationCosts[],5,FALSE),0)+AccreditationFee*tblData[[#This Row],[Bill Accred Fee]]))+tblData[[#This Row],[Entry Fee]]</f>
        <v>#VALUE!</v>
      </c>
      <c r="AT86" s="324" t="str">
        <f>IFERROR(VLOOKUP(tblData[[#This Row],[Weight Category, Function, and Gender]],tblWeightOrFunction[],3,0),"")</f>
        <v/>
      </c>
      <c r="AU86" s="84" t="str">
        <f>IFERROR(VLOOKUP(tblData[[#This Row],[Weight Category, Function, and Gender]],tblWeightOrFunction[],4,0),"")</f>
        <v/>
      </c>
      <c r="AV86" s="85" t="str">
        <f>IFERROR(VLOOKUP(tblData[[#This Row],[Weight Category, Function, and Gender]],tblWeightOrFunction[],7,0),"")</f>
        <v/>
      </c>
      <c r="AW86" s="84" t="str">
        <f>IFERROR(VLOOKUP(tblData[[#This Row],[Weight Category, Function, and Gender]],tblWeightOrFunction[],6,0),"")</f>
        <v/>
      </c>
      <c r="AX86" s="84" t="str">
        <f>IFERROR(VLOOKUP(tblData[[#This Row],[Weight Category, Function, and Gender]],tblWeightOrFunction[],2,0),"")</f>
        <v/>
      </c>
      <c r="AY86" s="75">
        <f>tblData[[#This Row],[Arr Date]]+tblData[[#This Row],[Arr Time]]</f>
        <v>0</v>
      </c>
      <c r="AZ86" s="75">
        <f>tblData[[#This Row],[Dep Date]]+tblData[[#This Row],[Dep Time]]</f>
        <v>0</v>
      </c>
      <c r="BA86" s="72">
        <f>COUNTIF(tblData[Surname],"&lt;="&amp;tblData[Surname])</f>
        <v>0</v>
      </c>
      <c r="BB86" s="72">
        <f>COUNTIF(tblData[Given name],"&lt;="&amp;tblData[Given name])</f>
        <v>0</v>
      </c>
      <c r="BC86" s="72">
        <f>COUNTIF(tblData[Arr DateTime],"&lt;="&amp;tblData[Arr DateTime])</f>
        <v>110</v>
      </c>
      <c r="BD86" s="72">
        <f>COUNTIF(tblData[Dep DateTime],"&lt;="&amp;tblData[Dep DateTime])</f>
        <v>110</v>
      </c>
      <c r="BE86" s="72">
        <f>COUNTIF(tblData[ShuttleAtDeparture],"&lt;="&amp;tblData[ShuttleAtDeparture])</f>
        <v>0</v>
      </c>
      <c r="BI86" s="6" t="str">
        <f t="array" ref="BI86">IF(ROWS(tblData[[#Headers],[Id]]:tblData[[#This Row],[Id]])-1&gt;$BI$11,"",INDEX(tblData[Id],SMALL(IF(LEN(TRIM(tblData[Surname]))*((tblData[Type]=$BI$9)+(tblData[Type]=$BI$10)),ROW(tblData[Id])-ROW(tblData[[#Headers],[Id]])),ROWS(tblData[[#Headers],[Id]]:tblData[[#This Row],[Id]])-1)))</f>
        <v/>
      </c>
      <c r="BK86" s="6" t="str">
        <f>IF(ROWS(tblCoachesAndOfficialsSorted[[#Headers],[Id]]:tblCoachesAndOfficialsSorted[[#This Row],[Id]])-1&gt;$BK$11,"",SMALL(tblCoachesAndOfficials[Id],ROWS(tblCoachesAndOfficialsSorted[[#Headers],[Id]]:tblCoachesAndOfficialsSorted[[#This Row],[Id]])-1))</f>
        <v/>
      </c>
      <c r="BM86" s="6" t="str">
        <f t="array" ref="BM86">IF(ROWS(tblData[[#Headers],[Id]]:tblData[[#This Row],[Id]])-1&gt;$BM$11,"",INDEX(tblData[Id],SMALL(IF(LEN(TRIM(tblData[Surname]))*(tblData[Type]=$BM$9),ROW(tblData[Id])-ROW(tblData[[#Headers],[Id]])),ROWS(tblData[[#Headers],[Id]]:tblData[[#This Row],[Id]])-1)))</f>
        <v/>
      </c>
      <c r="BO86" s="6" t="str">
        <f>IF(ROWS(tblWomenSorted[[#Headers],[Id]]:tblWomenSorted[[#This Row],[Id]])-1&gt;$BO$11,"",SMALL(tblWomen[Id],ROWS(tblWomenSorted[[#Headers],[Id]]:tblWomenSorted[[#This Row],[Id]])-1))</f>
        <v/>
      </c>
      <c r="BP86" s="17"/>
      <c r="BQ86" s="6" t="str">
        <f t="array" ref="BQ86">IF(ROWS(tblData[[#Headers],[Id]]:tblData[[#This Row],[Id]])-1&gt;$BQ$11,"",INDEX(tblData[Id],SMALL(IF(LEN(TRIM(tblData[Surname]))*(tblData[Type]=$BQ$9),ROW(tblData[Id])-ROW(tblData[[#Headers],[Id]])),ROWS(tblData[[#Headers],[Id]]:tblData[[#This Row],[Id]])-1)))</f>
        <v/>
      </c>
      <c r="BS86" s="6" t="str">
        <f>IF(ROWS(tblMenSorted[[#Headers],[Id]]:tblMenSorted[[#This Row],[Id]])-1&gt;$BS$11,"",SMALL(tblMen[Id],ROWS(tblMenSorted[[#Headers],[Id]]:tblMenSorted[[#This Row],[Id]])-1))</f>
        <v/>
      </c>
      <c r="BU86" s="6" t="str">
        <f t="array" ref="BU86">IF(ROWS(tblData[[#Headers],[Sorted Name Id]]:tblData[[#This Row],[Sorted Name Id]])-1&gt;$BU$11,"",INDEX(tblData[Sorted Name Id],SMALL(IF(LEN(TRIM(tblData[Surname]))*(tblData[Visa required]="YES"),ROW(tblData[Sorted Name Id])-ROW(tblData[[#Headers],[Sorted Name Id]])),ROWS(tblData[[#Headers],[Sorted Name Id]]:tblData[[#This Row],[Sorted Name Id]])-1)))</f>
        <v/>
      </c>
      <c r="BW86" s="6" t="str">
        <f>IF(ROWS(tblVisasSorted[[#Headers],[Id]]:tblVisasSorted[[#This Row],[Id]])-1&gt;$BW$11,"",SMALL(tblVisas[Id],ROWS(tblVisasSorted[[#Headers],[Id]]:tblVisasSorted[[#This Row],[Id]])-1))</f>
        <v/>
      </c>
      <c r="BY86" s="6" t="str">
        <f t="array" ref="BY86">IF(ROWS(tblData[[#Headers],[Sorted Arr Id]]:tblData[[#This Row],[Sorted Arr Id]])-1&gt;$BY$11,"",INDEX(tblData[Sorted Arr Id],SMALL(IF(LEN(TRIM(tblData[Surname]))*(tblData[Arr DateTime]&gt;0),ROW(tblData[Sorted Arr Id])-ROW(tblData[[#Headers],[Sorted Arr Id]])),ROWS(tblData[[#Headers],[Sorted Arr Id]]:tblData[[#This Row],[Sorted Arr Id]])-1)))</f>
        <v/>
      </c>
      <c r="CA86" s="6" t="str">
        <f>IF(ROWS(tblArrivalSorted[[#Headers],[Id]]:tblArrivalSorted[[#This Row],[Id]])-1&gt;$CA$11,"",SMALL(tblArrival[Id],ROWS(tblArrivalSorted[[#Headers],[Id]]:tblArrivalSorted[[#This Row],[Id]])-1))</f>
        <v/>
      </c>
      <c r="CC86" s="6" t="str">
        <f t="array" ref="CC86">IF(ROWS(tblData[[#Headers],[Sorted Dep Id]]:tblData[[#This Row],[Sorted Dep Id]])-1&gt;$CC$11,"",INDEX(tblData[Sorted Dep Id],SMALL(IF(LEN(TRIM(tblData[Surname]))*(tblData[Dep DateTime]&gt;0),ROW(tblData[Sorted Dep Id])-ROW(tblData[[#Headers],[Sorted Dep Id]])),ROWS(tblData[[#Headers],[Sorted Dep Id]]:tblData[[#This Row],[Sorted Dep Id]])-1)))</f>
        <v/>
      </c>
      <c r="CE86" s="6" t="str">
        <f>IF(ROWS(tblDepartureSorted[[#Headers],[Id]]:tblDepartureSorted[[#This Row],[Id]])-1&gt;$CE$11,"",SMALL(tblDeparture[Id],ROWS(tblDepartureSorted[[#Headers],[Id]]:tblDepartureSorted[[#This Row],[Id]])-1))</f>
        <v/>
      </c>
      <c r="CG86" s="6" t="str">
        <f t="array" ref="CG86">IF(ROWS(tblData[[#Headers],[Id]]:tblData[[#This Row],[Id]])-1&gt;$CG$11,"",INDEX(tblData[Id],SMALL(IF(LEN(TRIM(tblData[Surname])),ROW(tblData[Id])-ROW(tblData[[#Headers],[Id]])),ROWS(tblData[[#Headers],[Id]]:tblData[[#This Row],[Id]])-1)))</f>
        <v/>
      </c>
    </row>
    <row r="87" spans="1:85" s="6" customFormat="1">
      <c r="A87" s="14">
        <f>IF(ISNUMBER(tblData[[#This Row],[SubType2]]),tblData[[#This Row],[SubType2]]*10000+tblData[[#This Row],[No]],1000000+tblData[[#This Row],[No]])</f>
        <v>1000074</v>
      </c>
      <c r="B87" s="14">
        <f>IFERROR(tblData[[#This Row],[Surname Rang]]*1000+tblData[[#This Row],[Given Name Rang]]+tblData[[#This Row],[No]]/1000,"")</f>
        <v>7.3999999999999996E-2</v>
      </c>
      <c r="C87" s="14">
        <f>IFERROR(tblData[[#This Row],[Arr DateTime Rang]]+tblData[[#This Row],[No]]/1000,"")</f>
        <v>110.074</v>
      </c>
      <c r="D87" s="14">
        <f>IFERROR(tblData[[#This Row],[Dep DateTime Rang]]+tblData[[#This Row],[No]]/1000,"")</f>
        <v>110.074</v>
      </c>
      <c r="E87" s="362">
        <f t="shared" si="1"/>
        <v>74</v>
      </c>
      <c r="F87" s="370"/>
      <c r="G87" s="331"/>
      <c r="H87" s="328"/>
      <c r="I87" s="329"/>
      <c r="J87" s="330"/>
      <c r="K87" s="369"/>
      <c r="L87" s="375"/>
      <c r="M87" s="331"/>
      <c r="N87" s="331"/>
      <c r="O87" s="331"/>
      <c r="P87" s="329"/>
      <c r="Q87" s="376"/>
      <c r="R87" s="383"/>
      <c r="S87" s="332"/>
      <c r="T87" s="331"/>
      <c r="U87" s="333"/>
      <c r="V87" s="333"/>
      <c r="W87" s="384"/>
      <c r="X87" s="383"/>
      <c r="Y87" s="332"/>
      <c r="Z87" s="331"/>
      <c r="AA87" s="331"/>
      <c r="AB87" s="333"/>
      <c r="AC87" s="384"/>
      <c r="AD87" s="375"/>
      <c r="AE87" s="369"/>
      <c r="AF87" s="397"/>
      <c r="AG87" s="328"/>
      <c r="AH87" s="328"/>
      <c r="AI87" s="328"/>
      <c r="AJ87" s="328"/>
      <c r="AK87" s="328"/>
      <c r="AL87" s="328"/>
      <c r="AM87" s="328"/>
      <c r="AN87" s="398"/>
      <c r="AO87" s="402" t="str">
        <f>IF(ISBLANK(tblData[[#This Row],[Surname]]),"",IF(tblData[[#This Row],[Bill Accred Fee]]=0,"NO","YES"))</f>
        <v/>
      </c>
      <c r="AP87" s="406">
        <f>IF(AND(NOT(ISBLANK(tblData[[#This Row],[Surname]])),COUNTA(tblData[[#This Row],[Day 1]:[Day 9]])=0),1,0)</f>
        <v>0</v>
      </c>
      <c r="AQ87" s="406">
        <f>IF(AND(NOT(ISBLANK(tblData[[#This Row],[Surname]])),tblData[[#This Row],[Position]]="Athlete"),1,0)</f>
        <v>0</v>
      </c>
      <c r="AR87" s="433">
        <f>EntryFee*tblData[[#This Row],[Entry Fee Billable]]</f>
        <v>0</v>
      </c>
      <c r="AS87" s="410" t="e">
        <f>IF(ISBLANK(SelectedCategory),"No Cat!",IF(ISBLANK($F87),0,IFERROR(VLOOKUP(AS$12&amp;", "&amp;tblData[[#This Row],[Day 1]],tblAccommodationCosts[],5,FALSE),0)+IFERROR(VLOOKUP(AS$12&amp;", "&amp;tblData[[#This Row],[Day 2]],tblAccommodationCosts[],5,FALSE),0)+IFERROR(VLOOKUP(AS$12&amp;", "&amp;tblData[[#This Row],[Day 3]],tblAccommodationCosts[],5,FALSE),0)+IFERROR(VLOOKUP(AS$12&amp;", "&amp;tblData[[#This Row],[Day 4]],tblAccommodationCosts[],5,FALSE),0)+IFERROR(VLOOKUP(AS$12&amp;", "&amp;tblData[[#This Row],[Day 5]],tblAccommodationCosts[],5,FALSE),0)+IFERROR(VLOOKUP(AS$12&amp;", "&amp;tblData[[#This Row],[Day 6]],tblAccommodationCosts[],5,FALSE),0)+IFERROR(VLOOKUP(AS$12&amp;", "&amp;tblData[[#This Row],[Day 7]],tblAccommodationCosts[],5,FALSE),0)+IFERROR(VLOOKUP(AS$12&amp;", "&amp;tblData[[#This Row],[Day 8]],tblAccommodationCosts[],5,FALSE),0)+IFERROR(VLOOKUP(AS$12&amp;", "&amp;tblData[[#This Row],[Day 9]],tblAccommodationCosts[],5,FALSE),0)+AccreditationFee*tblData[[#This Row],[Bill Accred Fee]]))+tblData[[#This Row],[Entry Fee]]</f>
        <v>#VALUE!</v>
      </c>
      <c r="AT87" s="324" t="str">
        <f>IFERROR(VLOOKUP(tblData[[#This Row],[Weight Category, Function, and Gender]],tblWeightOrFunction[],3,0),"")</f>
        <v/>
      </c>
      <c r="AU87" s="84" t="str">
        <f>IFERROR(VLOOKUP(tblData[[#This Row],[Weight Category, Function, and Gender]],tblWeightOrFunction[],4,0),"")</f>
        <v/>
      </c>
      <c r="AV87" s="85" t="str">
        <f>IFERROR(VLOOKUP(tblData[[#This Row],[Weight Category, Function, and Gender]],tblWeightOrFunction[],7,0),"")</f>
        <v/>
      </c>
      <c r="AW87" s="84" t="str">
        <f>IFERROR(VLOOKUP(tblData[[#This Row],[Weight Category, Function, and Gender]],tblWeightOrFunction[],6,0),"")</f>
        <v/>
      </c>
      <c r="AX87" s="84" t="str">
        <f>IFERROR(VLOOKUP(tblData[[#This Row],[Weight Category, Function, and Gender]],tblWeightOrFunction[],2,0),"")</f>
        <v/>
      </c>
      <c r="AY87" s="75">
        <f>tblData[[#This Row],[Arr Date]]+tblData[[#This Row],[Arr Time]]</f>
        <v>0</v>
      </c>
      <c r="AZ87" s="75">
        <f>tblData[[#This Row],[Dep Date]]+tblData[[#This Row],[Dep Time]]</f>
        <v>0</v>
      </c>
      <c r="BA87" s="72">
        <f>COUNTIF(tblData[Surname],"&lt;="&amp;tblData[Surname])</f>
        <v>0</v>
      </c>
      <c r="BB87" s="72">
        <f>COUNTIF(tblData[Given name],"&lt;="&amp;tblData[Given name])</f>
        <v>0</v>
      </c>
      <c r="BC87" s="72">
        <f>COUNTIF(tblData[Arr DateTime],"&lt;="&amp;tblData[Arr DateTime])</f>
        <v>110</v>
      </c>
      <c r="BD87" s="72">
        <f>COUNTIF(tblData[Dep DateTime],"&lt;="&amp;tblData[Dep DateTime])</f>
        <v>110</v>
      </c>
      <c r="BE87" s="72">
        <f>COUNTIF(tblData[ShuttleAtDeparture],"&lt;="&amp;tblData[ShuttleAtDeparture])</f>
        <v>0</v>
      </c>
      <c r="BI87" s="6" t="str">
        <f t="array" ref="BI87">IF(ROWS(tblData[[#Headers],[Id]]:tblData[[#This Row],[Id]])-1&gt;$BI$11,"",INDEX(tblData[Id],SMALL(IF(LEN(TRIM(tblData[Surname]))*((tblData[Type]=$BI$9)+(tblData[Type]=$BI$10)),ROW(tblData[Id])-ROW(tblData[[#Headers],[Id]])),ROWS(tblData[[#Headers],[Id]]:tblData[[#This Row],[Id]])-1)))</f>
        <v/>
      </c>
      <c r="BK87" s="6" t="str">
        <f>IF(ROWS(tblCoachesAndOfficialsSorted[[#Headers],[Id]]:tblCoachesAndOfficialsSorted[[#This Row],[Id]])-1&gt;$BK$11,"",SMALL(tblCoachesAndOfficials[Id],ROWS(tblCoachesAndOfficialsSorted[[#Headers],[Id]]:tblCoachesAndOfficialsSorted[[#This Row],[Id]])-1))</f>
        <v/>
      </c>
      <c r="BM87" s="6" t="str">
        <f t="array" ref="BM87">IF(ROWS(tblData[[#Headers],[Id]]:tblData[[#This Row],[Id]])-1&gt;$BM$11,"",INDEX(tblData[Id],SMALL(IF(LEN(TRIM(tblData[Surname]))*(tblData[Type]=$BM$9),ROW(tblData[Id])-ROW(tblData[[#Headers],[Id]])),ROWS(tblData[[#Headers],[Id]]:tblData[[#This Row],[Id]])-1)))</f>
        <v/>
      </c>
      <c r="BO87" s="6" t="str">
        <f>IF(ROWS(tblWomenSorted[[#Headers],[Id]]:tblWomenSorted[[#This Row],[Id]])-1&gt;$BO$11,"",SMALL(tblWomen[Id],ROWS(tblWomenSorted[[#Headers],[Id]]:tblWomenSorted[[#This Row],[Id]])-1))</f>
        <v/>
      </c>
      <c r="BP87" s="17"/>
      <c r="BQ87" s="6" t="str">
        <f t="array" ref="BQ87">IF(ROWS(tblData[[#Headers],[Id]]:tblData[[#This Row],[Id]])-1&gt;$BQ$11,"",INDEX(tblData[Id],SMALL(IF(LEN(TRIM(tblData[Surname]))*(tblData[Type]=$BQ$9),ROW(tblData[Id])-ROW(tblData[[#Headers],[Id]])),ROWS(tblData[[#Headers],[Id]]:tblData[[#This Row],[Id]])-1)))</f>
        <v/>
      </c>
      <c r="BS87" s="6" t="str">
        <f>IF(ROWS(tblMenSorted[[#Headers],[Id]]:tblMenSorted[[#This Row],[Id]])-1&gt;$BS$11,"",SMALL(tblMen[Id],ROWS(tblMenSorted[[#Headers],[Id]]:tblMenSorted[[#This Row],[Id]])-1))</f>
        <v/>
      </c>
      <c r="BU87" s="6" t="str">
        <f t="array" ref="BU87">IF(ROWS(tblData[[#Headers],[Sorted Name Id]]:tblData[[#This Row],[Sorted Name Id]])-1&gt;$BU$11,"",INDEX(tblData[Sorted Name Id],SMALL(IF(LEN(TRIM(tblData[Surname]))*(tblData[Visa required]="YES"),ROW(tblData[Sorted Name Id])-ROW(tblData[[#Headers],[Sorted Name Id]])),ROWS(tblData[[#Headers],[Sorted Name Id]]:tblData[[#This Row],[Sorted Name Id]])-1)))</f>
        <v/>
      </c>
      <c r="BW87" s="6" t="str">
        <f>IF(ROWS(tblVisasSorted[[#Headers],[Id]]:tblVisasSorted[[#This Row],[Id]])-1&gt;$BW$11,"",SMALL(tblVisas[Id],ROWS(tblVisasSorted[[#Headers],[Id]]:tblVisasSorted[[#This Row],[Id]])-1))</f>
        <v/>
      </c>
      <c r="BY87" s="6" t="str">
        <f t="array" ref="BY87">IF(ROWS(tblData[[#Headers],[Sorted Arr Id]]:tblData[[#This Row],[Sorted Arr Id]])-1&gt;$BY$11,"",INDEX(tblData[Sorted Arr Id],SMALL(IF(LEN(TRIM(tblData[Surname]))*(tblData[Arr DateTime]&gt;0),ROW(tblData[Sorted Arr Id])-ROW(tblData[[#Headers],[Sorted Arr Id]])),ROWS(tblData[[#Headers],[Sorted Arr Id]]:tblData[[#This Row],[Sorted Arr Id]])-1)))</f>
        <v/>
      </c>
      <c r="CA87" s="6" t="str">
        <f>IF(ROWS(tblArrivalSorted[[#Headers],[Id]]:tblArrivalSorted[[#This Row],[Id]])-1&gt;$CA$11,"",SMALL(tblArrival[Id],ROWS(tblArrivalSorted[[#Headers],[Id]]:tblArrivalSorted[[#This Row],[Id]])-1))</f>
        <v/>
      </c>
      <c r="CC87" s="6" t="str">
        <f t="array" ref="CC87">IF(ROWS(tblData[[#Headers],[Sorted Dep Id]]:tblData[[#This Row],[Sorted Dep Id]])-1&gt;$CC$11,"",INDEX(tblData[Sorted Dep Id],SMALL(IF(LEN(TRIM(tblData[Surname]))*(tblData[Dep DateTime]&gt;0),ROW(tblData[Sorted Dep Id])-ROW(tblData[[#Headers],[Sorted Dep Id]])),ROWS(tblData[[#Headers],[Sorted Dep Id]]:tblData[[#This Row],[Sorted Dep Id]])-1)))</f>
        <v/>
      </c>
      <c r="CE87" s="6" t="str">
        <f>IF(ROWS(tblDepartureSorted[[#Headers],[Id]]:tblDepartureSorted[[#This Row],[Id]])-1&gt;$CE$11,"",SMALL(tblDeparture[Id],ROWS(tblDepartureSorted[[#Headers],[Id]]:tblDepartureSorted[[#This Row],[Id]])-1))</f>
        <v/>
      </c>
      <c r="CG87" s="6" t="str">
        <f t="array" ref="CG87">IF(ROWS(tblData[[#Headers],[Id]]:tblData[[#This Row],[Id]])-1&gt;$CG$11,"",INDEX(tblData[Id],SMALL(IF(LEN(TRIM(tblData[Surname])),ROW(tblData[Id])-ROW(tblData[[#Headers],[Id]])),ROWS(tblData[[#Headers],[Id]]:tblData[[#This Row],[Id]])-1)))</f>
        <v/>
      </c>
    </row>
    <row r="88" spans="1:85" s="6" customFormat="1">
      <c r="A88" s="14">
        <f>IF(ISNUMBER(tblData[[#This Row],[SubType2]]),tblData[[#This Row],[SubType2]]*10000+tblData[[#This Row],[No]],1000000+tblData[[#This Row],[No]])</f>
        <v>1000075</v>
      </c>
      <c r="B88" s="14">
        <f>IFERROR(tblData[[#This Row],[Surname Rang]]*1000+tblData[[#This Row],[Given Name Rang]]+tblData[[#This Row],[No]]/1000,"")</f>
        <v>7.4999999999999997E-2</v>
      </c>
      <c r="C88" s="14">
        <f>IFERROR(tblData[[#This Row],[Arr DateTime Rang]]+tblData[[#This Row],[No]]/1000,"")</f>
        <v>110.075</v>
      </c>
      <c r="D88" s="14">
        <f>IFERROR(tblData[[#This Row],[Dep DateTime Rang]]+tblData[[#This Row],[No]]/1000,"")</f>
        <v>110.075</v>
      </c>
      <c r="E88" s="362">
        <f t="shared" si="1"/>
        <v>75</v>
      </c>
      <c r="F88" s="370"/>
      <c r="G88" s="331"/>
      <c r="H88" s="328"/>
      <c r="I88" s="329"/>
      <c r="J88" s="330"/>
      <c r="K88" s="369"/>
      <c r="L88" s="375"/>
      <c r="M88" s="331"/>
      <c r="N88" s="331"/>
      <c r="O88" s="331"/>
      <c r="P88" s="329"/>
      <c r="Q88" s="376"/>
      <c r="R88" s="383"/>
      <c r="S88" s="332"/>
      <c r="T88" s="331"/>
      <c r="U88" s="333"/>
      <c r="V88" s="333"/>
      <c r="W88" s="384"/>
      <c r="X88" s="383"/>
      <c r="Y88" s="332"/>
      <c r="Z88" s="331"/>
      <c r="AA88" s="331"/>
      <c r="AB88" s="333"/>
      <c r="AC88" s="384"/>
      <c r="AD88" s="375"/>
      <c r="AE88" s="369"/>
      <c r="AF88" s="397"/>
      <c r="AG88" s="328"/>
      <c r="AH88" s="328"/>
      <c r="AI88" s="328"/>
      <c r="AJ88" s="328"/>
      <c r="AK88" s="328"/>
      <c r="AL88" s="328"/>
      <c r="AM88" s="328"/>
      <c r="AN88" s="398"/>
      <c r="AO88" s="402" t="str">
        <f>IF(ISBLANK(tblData[[#This Row],[Surname]]),"",IF(tblData[[#This Row],[Bill Accred Fee]]=0,"NO","YES"))</f>
        <v/>
      </c>
      <c r="AP88" s="406">
        <f>IF(AND(NOT(ISBLANK(tblData[[#This Row],[Surname]])),COUNTA(tblData[[#This Row],[Day 1]:[Day 9]])=0),1,0)</f>
        <v>0</v>
      </c>
      <c r="AQ88" s="406">
        <f>IF(AND(NOT(ISBLANK(tblData[[#This Row],[Surname]])),tblData[[#This Row],[Position]]="Athlete"),1,0)</f>
        <v>0</v>
      </c>
      <c r="AR88" s="433">
        <f>EntryFee*tblData[[#This Row],[Entry Fee Billable]]</f>
        <v>0</v>
      </c>
      <c r="AS88" s="410" t="e">
        <f>IF(ISBLANK(SelectedCategory),"No Cat!",IF(ISBLANK($F88),0,IFERROR(VLOOKUP(AS$12&amp;", "&amp;tblData[[#This Row],[Day 1]],tblAccommodationCosts[],5,FALSE),0)+IFERROR(VLOOKUP(AS$12&amp;", "&amp;tblData[[#This Row],[Day 2]],tblAccommodationCosts[],5,FALSE),0)+IFERROR(VLOOKUP(AS$12&amp;", "&amp;tblData[[#This Row],[Day 3]],tblAccommodationCosts[],5,FALSE),0)+IFERROR(VLOOKUP(AS$12&amp;", "&amp;tblData[[#This Row],[Day 4]],tblAccommodationCosts[],5,FALSE),0)+IFERROR(VLOOKUP(AS$12&amp;", "&amp;tblData[[#This Row],[Day 5]],tblAccommodationCosts[],5,FALSE),0)+IFERROR(VLOOKUP(AS$12&amp;", "&amp;tblData[[#This Row],[Day 6]],tblAccommodationCosts[],5,FALSE),0)+IFERROR(VLOOKUP(AS$12&amp;", "&amp;tblData[[#This Row],[Day 7]],tblAccommodationCosts[],5,FALSE),0)+IFERROR(VLOOKUP(AS$12&amp;", "&amp;tblData[[#This Row],[Day 8]],tblAccommodationCosts[],5,FALSE),0)+IFERROR(VLOOKUP(AS$12&amp;", "&amp;tblData[[#This Row],[Day 9]],tblAccommodationCosts[],5,FALSE),0)+AccreditationFee*tblData[[#This Row],[Bill Accred Fee]]))+tblData[[#This Row],[Entry Fee]]</f>
        <v>#VALUE!</v>
      </c>
      <c r="AT88" s="324" t="str">
        <f>IFERROR(VLOOKUP(tblData[[#This Row],[Weight Category, Function, and Gender]],tblWeightOrFunction[],3,0),"")</f>
        <v/>
      </c>
      <c r="AU88" s="84" t="str">
        <f>IFERROR(VLOOKUP(tblData[[#This Row],[Weight Category, Function, and Gender]],tblWeightOrFunction[],4,0),"")</f>
        <v/>
      </c>
      <c r="AV88" s="85" t="str">
        <f>IFERROR(VLOOKUP(tblData[[#This Row],[Weight Category, Function, and Gender]],tblWeightOrFunction[],7,0),"")</f>
        <v/>
      </c>
      <c r="AW88" s="84" t="str">
        <f>IFERROR(VLOOKUP(tblData[[#This Row],[Weight Category, Function, and Gender]],tblWeightOrFunction[],6,0),"")</f>
        <v/>
      </c>
      <c r="AX88" s="84" t="str">
        <f>IFERROR(VLOOKUP(tblData[[#This Row],[Weight Category, Function, and Gender]],tblWeightOrFunction[],2,0),"")</f>
        <v/>
      </c>
      <c r="AY88" s="75">
        <f>tblData[[#This Row],[Arr Date]]+tblData[[#This Row],[Arr Time]]</f>
        <v>0</v>
      </c>
      <c r="AZ88" s="75">
        <f>tblData[[#This Row],[Dep Date]]+tblData[[#This Row],[Dep Time]]</f>
        <v>0</v>
      </c>
      <c r="BA88" s="72">
        <f>COUNTIF(tblData[Surname],"&lt;="&amp;tblData[Surname])</f>
        <v>0</v>
      </c>
      <c r="BB88" s="72">
        <f>COUNTIF(tblData[Given name],"&lt;="&amp;tblData[Given name])</f>
        <v>0</v>
      </c>
      <c r="BC88" s="72">
        <f>COUNTIF(tblData[Arr DateTime],"&lt;="&amp;tblData[Arr DateTime])</f>
        <v>110</v>
      </c>
      <c r="BD88" s="72">
        <f>COUNTIF(tblData[Dep DateTime],"&lt;="&amp;tblData[Dep DateTime])</f>
        <v>110</v>
      </c>
      <c r="BE88" s="72">
        <f>COUNTIF(tblData[ShuttleAtDeparture],"&lt;="&amp;tblData[ShuttleAtDeparture])</f>
        <v>0</v>
      </c>
      <c r="BI88" s="6" t="str">
        <f t="array" ref="BI88">IF(ROWS(tblData[[#Headers],[Id]]:tblData[[#This Row],[Id]])-1&gt;$BI$11,"",INDEX(tblData[Id],SMALL(IF(LEN(TRIM(tblData[Surname]))*((tblData[Type]=$BI$9)+(tblData[Type]=$BI$10)),ROW(tblData[Id])-ROW(tblData[[#Headers],[Id]])),ROWS(tblData[[#Headers],[Id]]:tblData[[#This Row],[Id]])-1)))</f>
        <v/>
      </c>
      <c r="BK88" s="6" t="str">
        <f>IF(ROWS(tblCoachesAndOfficialsSorted[[#Headers],[Id]]:tblCoachesAndOfficialsSorted[[#This Row],[Id]])-1&gt;$BK$11,"",SMALL(tblCoachesAndOfficials[Id],ROWS(tblCoachesAndOfficialsSorted[[#Headers],[Id]]:tblCoachesAndOfficialsSorted[[#This Row],[Id]])-1))</f>
        <v/>
      </c>
      <c r="BM88" s="6" t="str">
        <f t="array" ref="BM88">IF(ROWS(tblData[[#Headers],[Id]]:tblData[[#This Row],[Id]])-1&gt;$BM$11,"",INDEX(tblData[Id],SMALL(IF(LEN(TRIM(tblData[Surname]))*(tblData[Type]=$BM$9),ROW(tblData[Id])-ROW(tblData[[#Headers],[Id]])),ROWS(tblData[[#Headers],[Id]]:tblData[[#This Row],[Id]])-1)))</f>
        <v/>
      </c>
      <c r="BO88" s="6" t="str">
        <f>IF(ROWS(tblWomenSorted[[#Headers],[Id]]:tblWomenSorted[[#This Row],[Id]])-1&gt;$BO$11,"",SMALL(tblWomen[Id],ROWS(tblWomenSorted[[#Headers],[Id]]:tblWomenSorted[[#This Row],[Id]])-1))</f>
        <v/>
      </c>
      <c r="BP88" s="17"/>
      <c r="BQ88" s="6" t="str">
        <f t="array" ref="BQ88">IF(ROWS(tblData[[#Headers],[Id]]:tblData[[#This Row],[Id]])-1&gt;$BQ$11,"",INDEX(tblData[Id],SMALL(IF(LEN(TRIM(tblData[Surname]))*(tblData[Type]=$BQ$9),ROW(tblData[Id])-ROW(tblData[[#Headers],[Id]])),ROWS(tblData[[#Headers],[Id]]:tblData[[#This Row],[Id]])-1)))</f>
        <v/>
      </c>
      <c r="BS88" s="6" t="str">
        <f>IF(ROWS(tblMenSorted[[#Headers],[Id]]:tblMenSorted[[#This Row],[Id]])-1&gt;$BS$11,"",SMALL(tblMen[Id],ROWS(tblMenSorted[[#Headers],[Id]]:tblMenSorted[[#This Row],[Id]])-1))</f>
        <v/>
      </c>
      <c r="BU88" s="6" t="str">
        <f t="array" ref="BU88">IF(ROWS(tblData[[#Headers],[Sorted Name Id]]:tblData[[#This Row],[Sorted Name Id]])-1&gt;$BU$11,"",INDEX(tblData[Sorted Name Id],SMALL(IF(LEN(TRIM(tblData[Surname]))*(tblData[Visa required]="YES"),ROW(tblData[Sorted Name Id])-ROW(tblData[[#Headers],[Sorted Name Id]])),ROWS(tblData[[#Headers],[Sorted Name Id]]:tblData[[#This Row],[Sorted Name Id]])-1)))</f>
        <v/>
      </c>
      <c r="BW88" s="6" t="str">
        <f>IF(ROWS(tblVisasSorted[[#Headers],[Id]]:tblVisasSorted[[#This Row],[Id]])-1&gt;$BW$11,"",SMALL(tblVisas[Id],ROWS(tblVisasSorted[[#Headers],[Id]]:tblVisasSorted[[#This Row],[Id]])-1))</f>
        <v/>
      </c>
      <c r="BY88" s="6" t="str">
        <f t="array" ref="BY88">IF(ROWS(tblData[[#Headers],[Sorted Arr Id]]:tblData[[#This Row],[Sorted Arr Id]])-1&gt;$BY$11,"",INDEX(tblData[Sorted Arr Id],SMALL(IF(LEN(TRIM(tblData[Surname]))*(tblData[Arr DateTime]&gt;0),ROW(tblData[Sorted Arr Id])-ROW(tblData[[#Headers],[Sorted Arr Id]])),ROWS(tblData[[#Headers],[Sorted Arr Id]]:tblData[[#This Row],[Sorted Arr Id]])-1)))</f>
        <v/>
      </c>
      <c r="CA88" s="6" t="str">
        <f>IF(ROWS(tblArrivalSorted[[#Headers],[Id]]:tblArrivalSorted[[#This Row],[Id]])-1&gt;$CA$11,"",SMALL(tblArrival[Id],ROWS(tblArrivalSorted[[#Headers],[Id]]:tblArrivalSorted[[#This Row],[Id]])-1))</f>
        <v/>
      </c>
      <c r="CC88" s="6" t="str">
        <f t="array" ref="CC88">IF(ROWS(tblData[[#Headers],[Sorted Dep Id]]:tblData[[#This Row],[Sorted Dep Id]])-1&gt;$CC$11,"",INDEX(tblData[Sorted Dep Id],SMALL(IF(LEN(TRIM(tblData[Surname]))*(tblData[Dep DateTime]&gt;0),ROW(tblData[Sorted Dep Id])-ROW(tblData[[#Headers],[Sorted Dep Id]])),ROWS(tblData[[#Headers],[Sorted Dep Id]]:tblData[[#This Row],[Sorted Dep Id]])-1)))</f>
        <v/>
      </c>
      <c r="CE88" s="6" t="str">
        <f>IF(ROWS(tblDepartureSorted[[#Headers],[Id]]:tblDepartureSorted[[#This Row],[Id]])-1&gt;$CE$11,"",SMALL(tblDeparture[Id],ROWS(tblDepartureSorted[[#Headers],[Id]]:tblDepartureSorted[[#This Row],[Id]])-1))</f>
        <v/>
      </c>
      <c r="CG88" s="6" t="str">
        <f t="array" ref="CG88">IF(ROWS(tblData[[#Headers],[Id]]:tblData[[#This Row],[Id]])-1&gt;$CG$11,"",INDEX(tblData[Id],SMALL(IF(LEN(TRIM(tblData[Surname])),ROW(tblData[Id])-ROW(tblData[[#Headers],[Id]])),ROWS(tblData[[#Headers],[Id]]:tblData[[#This Row],[Id]])-1)))</f>
        <v/>
      </c>
    </row>
    <row r="89" spans="1:85" s="6" customFormat="1">
      <c r="A89" s="14">
        <f>IF(ISNUMBER(tblData[[#This Row],[SubType2]]),tblData[[#This Row],[SubType2]]*10000+tblData[[#This Row],[No]],1000000+tblData[[#This Row],[No]])</f>
        <v>1000076</v>
      </c>
      <c r="B89" s="14">
        <f>IFERROR(tblData[[#This Row],[Surname Rang]]*1000+tblData[[#This Row],[Given Name Rang]]+tblData[[#This Row],[No]]/1000,"")</f>
        <v>7.5999999999999998E-2</v>
      </c>
      <c r="C89" s="14">
        <f>IFERROR(tblData[[#This Row],[Arr DateTime Rang]]+tblData[[#This Row],[No]]/1000,"")</f>
        <v>110.07599999999999</v>
      </c>
      <c r="D89" s="14">
        <f>IFERROR(tblData[[#This Row],[Dep DateTime Rang]]+tblData[[#This Row],[No]]/1000,"")</f>
        <v>110.07599999999999</v>
      </c>
      <c r="E89" s="362">
        <f t="shared" si="1"/>
        <v>76</v>
      </c>
      <c r="F89" s="370"/>
      <c r="G89" s="331"/>
      <c r="H89" s="328"/>
      <c r="I89" s="329"/>
      <c r="J89" s="330"/>
      <c r="K89" s="369"/>
      <c r="L89" s="375"/>
      <c r="M89" s="331"/>
      <c r="N89" s="331"/>
      <c r="O89" s="331"/>
      <c r="P89" s="329"/>
      <c r="Q89" s="376"/>
      <c r="R89" s="383"/>
      <c r="S89" s="332"/>
      <c r="T89" s="331"/>
      <c r="U89" s="333"/>
      <c r="V89" s="333"/>
      <c r="W89" s="384"/>
      <c r="X89" s="383"/>
      <c r="Y89" s="332"/>
      <c r="Z89" s="331"/>
      <c r="AA89" s="331"/>
      <c r="AB89" s="333"/>
      <c r="AC89" s="384"/>
      <c r="AD89" s="375"/>
      <c r="AE89" s="369"/>
      <c r="AF89" s="397"/>
      <c r="AG89" s="328"/>
      <c r="AH89" s="328"/>
      <c r="AI89" s="328"/>
      <c r="AJ89" s="328"/>
      <c r="AK89" s="328"/>
      <c r="AL89" s="328"/>
      <c r="AM89" s="328"/>
      <c r="AN89" s="398"/>
      <c r="AO89" s="402" t="str">
        <f>IF(ISBLANK(tblData[[#This Row],[Surname]]),"",IF(tblData[[#This Row],[Bill Accred Fee]]=0,"NO","YES"))</f>
        <v/>
      </c>
      <c r="AP89" s="406">
        <f>IF(AND(NOT(ISBLANK(tblData[[#This Row],[Surname]])),COUNTA(tblData[[#This Row],[Day 1]:[Day 9]])=0),1,0)</f>
        <v>0</v>
      </c>
      <c r="AQ89" s="406">
        <f>IF(AND(NOT(ISBLANK(tblData[[#This Row],[Surname]])),tblData[[#This Row],[Position]]="Athlete"),1,0)</f>
        <v>0</v>
      </c>
      <c r="AR89" s="433">
        <f>EntryFee*tblData[[#This Row],[Entry Fee Billable]]</f>
        <v>0</v>
      </c>
      <c r="AS89" s="410" t="e">
        <f>IF(ISBLANK(SelectedCategory),"No Cat!",IF(ISBLANK($F89),0,IFERROR(VLOOKUP(AS$12&amp;", "&amp;tblData[[#This Row],[Day 1]],tblAccommodationCosts[],5,FALSE),0)+IFERROR(VLOOKUP(AS$12&amp;", "&amp;tblData[[#This Row],[Day 2]],tblAccommodationCosts[],5,FALSE),0)+IFERROR(VLOOKUP(AS$12&amp;", "&amp;tblData[[#This Row],[Day 3]],tblAccommodationCosts[],5,FALSE),0)+IFERROR(VLOOKUP(AS$12&amp;", "&amp;tblData[[#This Row],[Day 4]],tblAccommodationCosts[],5,FALSE),0)+IFERROR(VLOOKUP(AS$12&amp;", "&amp;tblData[[#This Row],[Day 5]],tblAccommodationCosts[],5,FALSE),0)+IFERROR(VLOOKUP(AS$12&amp;", "&amp;tblData[[#This Row],[Day 6]],tblAccommodationCosts[],5,FALSE),0)+IFERROR(VLOOKUP(AS$12&amp;", "&amp;tblData[[#This Row],[Day 7]],tblAccommodationCosts[],5,FALSE),0)+IFERROR(VLOOKUP(AS$12&amp;", "&amp;tblData[[#This Row],[Day 8]],tblAccommodationCosts[],5,FALSE),0)+IFERROR(VLOOKUP(AS$12&amp;", "&amp;tblData[[#This Row],[Day 9]],tblAccommodationCosts[],5,FALSE),0)+AccreditationFee*tblData[[#This Row],[Bill Accred Fee]]))+tblData[[#This Row],[Entry Fee]]</f>
        <v>#VALUE!</v>
      </c>
      <c r="AT89" s="324" t="str">
        <f>IFERROR(VLOOKUP(tblData[[#This Row],[Weight Category, Function, and Gender]],tblWeightOrFunction[],3,0),"")</f>
        <v/>
      </c>
      <c r="AU89" s="84" t="str">
        <f>IFERROR(VLOOKUP(tblData[[#This Row],[Weight Category, Function, and Gender]],tblWeightOrFunction[],4,0),"")</f>
        <v/>
      </c>
      <c r="AV89" s="85" t="str">
        <f>IFERROR(VLOOKUP(tblData[[#This Row],[Weight Category, Function, and Gender]],tblWeightOrFunction[],7,0),"")</f>
        <v/>
      </c>
      <c r="AW89" s="84" t="str">
        <f>IFERROR(VLOOKUP(tblData[[#This Row],[Weight Category, Function, and Gender]],tblWeightOrFunction[],6,0),"")</f>
        <v/>
      </c>
      <c r="AX89" s="84" t="str">
        <f>IFERROR(VLOOKUP(tblData[[#This Row],[Weight Category, Function, and Gender]],tblWeightOrFunction[],2,0),"")</f>
        <v/>
      </c>
      <c r="AY89" s="75">
        <f>tblData[[#This Row],[Arr Date]]+tblData[[#This Row],[Arr Time]]</f>
        <v>0</v>
      </c>
      <c r="AZ89" s="75">
        <f>tblData[[#This Row],[Dep Date]]+tblData[[#This Row],[Dep Time]]</f>
        <v>0</v>
      </c>
      <c r="BA89" s="72">
        <f>COUNTIF(tblData[Surname],"&lt;="&amp;tblData[Surname])</f>
        <v>0</v>
      </c>
      <c r="BB89" s="72">
        <f>COUNTIF(tblData[Given name],"&lt;="&amp;tblData[Given name])</f>
        <v>0</v>
      </c>
      <c r="BC89" s="72">
        <f>COUNTIF(tblData[Arr DateTime],"&lt;="&amp;tblData[Arr DateTime])</f>
        <v>110</v>
      </c>
      <c r="BD89" s="72">
        <f>COUNTIF(tblData[Dep DateTime],"&lt;="&amp;tblData[Dep DateTime])</f>
        <v>110</v>
      </c>
      <c r="BE89" s="72">
        <f>COUNTIF(tblData[ShuttleAtDeparture],"&lt;="&amp;tblData[ShuttleAtDeparture])</f>
        <v>0</v>
      </c>
      <c r="BI89" s="6" t="str">
        <f t="array" ref="BI89">IF(ROWS(tblData[[#Headers],[Id]]:tblData[[#This Row],[Id]])-1&gt;$BI$11,"",INDEX(tblData[Id],SMALL(IF(LEN(TRIM(tblData[Surname]))*((tblData[Type]=$BI$9)+(tblData[Type]=$BI$10)),ROW(tblData[Id])-ROW(tblData[[#Headers],[Id]])),ROWS(tblData[[#Headers],[Id]]:tblData[[#This Row],[Id]])-1)))</f>
        <v/>
      </c>
      <c r="BK89" s="6" t="str">
        <f>IF(ROWS(tblCoachesAndOfficialsSorted[[#Headers],[Id]]:tblCoachesAndOfficialsSorted[[#This Row],[Id]])-1&gt;$BK$11,"",SMALL(tblCoachesAndOfficials[Id],ROWS(tblCoachesAndOfficialsSorted[[#Headers],[Id]]:tblCoachesAndOfficialsSorted[[#This Row],[Id]])-1))</f>
        <v/>
      </c>
      <c r="BM89" s="6" t="str">
        <f t="array" ref="BM89">IF(ROWS(tblData[[#Headers],[Id]]:tblData[[#This Row],[Id]])-1&gt;$BM$11,"",INDEX(tblData[Id],SMALL(IF(LEN(TRIM(tblData[Surname]))*(tblData[Type]=$BM$9),ROW(tblData[Id])-ROW(tblData[[#Headers],[Id]])),ROWS(tblData[[#Headers],[Id]]:tblData[[#This Row],[Id]])-1)))</f>
        <v/>
      </c>
      <c r="BO89" s="6" t="str">
        <f>IF(ROWS(tblWomenSorted[[#Headers],[Id]]:tblWomenSorted[[#This Row],[Id]])-1&gt;$BO$11,"",SMALL(tblWomen[Id],ROWS(tblWomenSorted[[#Headers],[Id]]:tblWomenSorted[[#This Row],[Id]])-1))</f>
        <v/>
      </c>
      <c r="BP89" s="17"/>
      <c r="BQ89" s="6" t="str">
        <f t="array" ref="BQ89">IF(ROWS(tblData[[#Headers],[Id]]:tblData[[#This Row],[Id]])-1&gt;$BQ$11,"",INDEX(tblData[Id],SMALL(IF(LEN(TRIM(tblData[Surname]))*(tblData[Type]=$BQ$9),ROW(tblData[Id])-ROW(tblData[[#Headers],[Id]])),ROWS(tblData[[#Headers],[Id]]:tblData[[#This Row],[Id]])-1)))</f>
        <v/>
      </c>
      <c r="BS89" s="6" t="str">
        <f>IF(ROWS(tblMenSorted[[#Headers],[Id]]:tblMenSorted[[#This Row],[Id]])-1&gt;$BS$11,"",SMALL(tblMen[Id],ROWS(tblMenSorted[[#Headers],[Id]]:tblMenSorted[[#This Row],[Id]])-1))</f>
        <v/>
      </c>
      <c r="BU89" s="6" t="str">
        <f t="array" ref="BU89">IF(ROWS(tblData[[#Headers],[Sorted Name Id]]:tblData[[#This Row],[Sorted Name Id]])-1&gt;$BU$11,"",INDEX(tblData[Sorted Name Id],SMALL(IF(LEN(TRIM(tblData[Surname]))*(tblData[Visa required]="YES"),ROW(tblData[Sorted Name Id])-ROW(tblData[[#Headers],[Sorted Name Id]])),ROWS(tblData[[#Headers],[Sorted Name Id]]:tblData[[#This Row],[Sorted Name Id]])-1)))</f>
        <v/>
      </c>
      <c r="BW89" s="6" t="str">
        <f>IF(ROWS(tblVisasSorted[[#Headers],[Id]]:tblVisasSorted[[#This Row],[Id]])-1&gt;$BW$11,"",SMALL(tblVisas[Id],ROWS(tblVisasSorted[[#Headers],[Id]]:tblVisasSorted[[#This Row],[Id]])-1))</f>
        <v/>
      </c>
      <c r="BY89" s="6" t="str">
        <f t="array" ref="BY89">IF(ROWS(tblData[[#Headers],[Sorted Arr Id]]:tblData[[#This Row],[Sorted Arr Id]])-1&gt;$BY$11,"",INDEX(tblData[Sorted Arr Id],SMALL(IF(LEN(TRIM(tblData[Surname]))*(tblData[Arr DateTime]&gt;0),ROW(tblData[Sorted Arr Id])-ROW(tblData[[#Headers],[Sorted Arr Id]])),ROWS(tblData[[#Headers],[Sorted Arr Id]]:tblData[[#This Row],[Sorted Arr Id]])-1)))</f>
        <v/>
      </c>
      <c r="CA89" s="6" t="str">
        <f>IF(ROWS(tblArrivalSorted[[#Headers],[Id]]:tblArrivalSorted[[#This Row],[Id]])-1&gt;$CA$11,"",SMALL(tblArrival[Id],ROWS(tblArrivalSorted[[#Headers],[Id]]:tblArrivalSorted[[#This Row],[Id]])-1))</f>
        <v/>
      </c>
      <c r="CC89" s="6" t="str">
        <f t="array" ref="CC89">IF(ROWS(tblData[[#Headers],[Sorted Dep Id]]:tblData[[#This Row],[Sorted Dep Id]])-1&gt;$CC$11,"",INDEX(tblData[Sorted Dep Id],SMALL(IF(LEN(TRIM(tblData[Surname]))*(tblData[Dep DateTime]&gt;0),ROW(tblData[Sorted Dep Id])-ROW(tblData[[#Headers],[Sorted Dep Id]])),ROWS(tblData[[#Headers],[Sorted Dep Id]]:tblData[[#This Row],[Sorted Dep Id]])-1)))</f>
        <v/>
      </c>
      <c r="CE89" s="6" t="str">
        <f>IF(ROWS(tblDepartureSorted[[#Headers],[Id]]:tblDepartureSorted[[#This Row],[Id]])-1&gt;$CE$11,"",SMALL(tblDeparture[Id],ROWS(tblDepartureSorted[[#Headers],[Id]]:tblDepartureSorted[[#This Row],[Id]])-1))</f>
        <v/>
      </c>
      <c r="CG89" s="6" t="str">
        <f t="array" ref="CG89">IF(ROWS(tblData[[#Headers],[Id]]:tblData[[#This Row],[Id]])-1&gt;$CG$11,"",INDEX(tblData[Id],SMALL(IF(LEN(TRIM(tblData[Surname])),ROW(tblData[Id])-ROW(tblData[[#Headers],[Id]])),ROWS(tblData[[#Headers],[Id]]:tblData[[#This Row],[Id]])-1)))</f>
        <v/>
      </c>
    </row>
    <row r="90" spans="1:85" s="6" customFormat="1">
      <c r="A90" s="14">
        <f>IF(ISNUMBER(tblData[[#This Row],[SubType2]]),tblData[[#This Row],[SubType2]]*10000+tblData[[#This Row],[No]],1000000+tblData[[#This Row],[No]])</f>
        <v>1000077</v>
      </c>
      <c r="B90" s="14">
        <f>IFERROR(tblData[[#This Row],[Surname Rang]]*1000+tblData[[#This Row],[Given Name Rang]]+tblData[[#This Row],[No]]/1000,"")</f>
        <v>7.6999999999999999E-2</v>
      </c>
      <c r="C90" s="14">
        <f>IFERROR(tblData[[#This Row],[Arr DateTime Rang]]+tblData[[#This Row],[No]]/1000,"")</f>
        <v>110.077</v>
      </c>
      <c r="D90" s="14">
        <f>IFERROR(tblData[[#This Row],[Dep DateTime Rang]]+tblData[[#This Row],[No]]/1000,"")</f>
        <v>110.077</v>
      </c>
      <c r="E90" s="362">
        <f t="shared" si="1"/>
        <v>77</v>
      </c>
      <c r="F90" s="370"/>
      <c r="G90" s="331"/>
      <c r="H90" s="328"/>
      <c r="I90" s="329"/>
      <c r="J90" s="330"/>
      <c r="K90" s="369"/>
      <c r="L90" s="375"/>
      <c r="M90" s="331"/>
      <c r="N90" s="331"/>
      <c r="O90" s="331"/>
      <c r="P90" s="329"/>
      <c r="Q90" s="376"/>
      <c r="R90" s="383"/>
      <c r="S90" s="332"/>
      <c r="T90" s="331"/>
      <c r="U90" s="333"/>
      <c r="V90" s="333"/>
      <c r="W90" s="384"/>
      <c r="X90" s="383"/>
      <c r="Y90" s="332"/>
      <c r="Z90" s="331"/>
      <c r="AA90" s="331"/>
      <c r="AB90" s="333"/>
      <c r="AC90" s="384"/>
      <c r="AD90" s="375"/>
      <c r="AE90" s="369"/>
      <c r="AF90" s="397"/>
      <c r="AG90" s="328"/>
      <c r="AH90" s="328"/>
      <c r="AI90" s="328"/>
      <c r="AJ90" s="328"/>
      <c r="AK90" s="328"/>
      <c r="AL90" s="328"/>
      <c r="AM90" s="328"/>
      <c r="AN90" s="398"/>
      <c r="AO90" s="402" t="str">
        <f>IF(ISBLANK(tblData[[#This Row],[Surname]]),"",IF(tblData[[#This Row],[Bill Accred Fee]]=0,"NO","YES"))</f>
        <v/>
      </c>
      <c r="AP90" s="406">
        <f>IF(AND(NOT(ISBLANK(tblData[[#This Row],[Surname]])),COUNTA(tblData[[#This Row],[Day 1]:[Day 9]])=0),1,0)</f>
        <v>0</v>
      </c>
      <c r="AQ90" s="406">
        <f>IF(AND(NOT(ISBLANK(tblData[[#This Row],[Surname]])),tblData[[#This Row],[Position]]="Athlete"),1,0)</f>
        <v>0</v>
      </c>
      <c r="AR90" s="433">
        <f>EntryFee*tblData[[#This Row],[Entry Fee Billable]]</f>
        <v>0</v>
      </c>
      <c r="AS90" s="410" t="e">
        <f>IF(ISBLANK(SelectedCategory),"No Cat!",IF(ISBLANK($F90),0,IFERROR(VLOOKUP(AS$12&amp;", "&amp;tblData[[#This Row],[Day 1]],tblAccommodationCosts[],5,FALSE),0)+IFERROR(VLOOKUP(AS$12&amp;", "&amp;tblData[[#This Row],[Day 2]],tblAccommodationCosts[],5,FALSE),0)+IFERROR(VLOOKUP(AS$12&amp;", "&amp;tblData[[#This Row],[Day 3]],tblAccommodationCosts[],5,FALSE),0)+IFERROR(VLOOKUP(AS$12&amp;", "&amp;tblData[[#This Row],[Day 4]],tblAccommodationCosts[],5,FALSE),0)+IFERROR(VLOOKUP(AS$12&amp;", "&amp;tblData[[#This Row],[Day 5]],tblAccommodationCosts[],5,FALSE),0)+IFERROR(VLOOKUP(AS$12&amp;", "&amp;tblData[[#This Row],[Day 6]],tblAccommodationCosts[],5,FALSE),0)+IFERROR(VLOOKUP(AS$12&amp;", "&amp;tblData[[#This Row],[Day 7]],tblAccommodationCosts[],5,FALSE),0)+IFERROR(VLOOKUP(AS$12&amp;", "&amp;tblData[[#This Row],[Day 8]],tblAccommodationCosts[],5,FALSE),0)+IFERROR(VLOOKUP(AS$12&amp;", "&amp;tblData[[#This Row],[Day 9]],tblAccommodationCosts[],5,FALSE),0)+AccreditationFee*tblData[[#This Row],[Bill Accred Fee]]))+tblData[[#This Row],[Entry Fee]]</f>
        <v>#VALUE!</v>
      </c>
      <c r="AT90" s="324" t="str">
        <f>IFERROR(VLOOKUP(tblData[[#This Row],[Weight Category, Function, and Gender]],tblWeightOrFunction[],3,0),"")</f>
        <v/>
      </c>
      <c r="AU90" s="84" t="str">
        <f>IFERROR(VLOOKUP(tblData[[#This Row],[Weight Category, Function, and Gender]],tblWeightOrFunction[],4,0),"")</f>
        <v/>
      </c>
      <c r="AV90" s="85" t="str">
        <f>IFERROR(VLOOKUP(tblData[[#This Row],[Weight Category, Function, and Gender]],tblWeightOrFunction[],7,0),"")</f>
        <v/>
      </c>
      <c r="AW90" s="84" t="str">
        <f>IFERROR(VLOOKUP(tblData[[#This Row],[Weight Category, Function, and Gender]],tblWeightOrFunction[],6,0),"")</f>
        <v/>
      </c>
      <c r="AX90" s="84" t="str">
        <f>IFERROR(VLOOKUP(tblData[[#This Row],[Weight Category, Function, and Gender]],tblWeightOrFunction[],2,0),"")</f>
        <v/>
      </c>
      <c r="AY90" s="75">
        <f>tblData[[#This Row],[Arr Date]]+tblData[[#This Row],[Arr Time]]</f>
        <v>0</v>
      </c>
      <c r="AZ90" s="75">
        <f>tblData[[#This Row],[Dep Date]]+tblData[[#This Row],[Dep Time]]</f>
        <v>0</v>
      </c>
      <c r="BA90" s="72">
        <f>COUNTIF(tblData[Surname],"&lt;="&amp;tblData[Surname])</f>
        <v>0</v>
      </c>
      <c r="BB90" s="72">
        <f>COUNTIF(tblData[Given name],"&lt;="&amp;tblData[Given name])</f>
        <v>0</v>
      </c>
      <c r="BC90" s="72">
        <f>COUNTIF(tblData[Arr DateTime],"&lt;="&amp;tblData[Arr DateTime])</f>
        <v>110</v>
      </c>
      <c r="BD90" s="72">
        <f>COUNTIF(tblData[Dep DateTime],"&lt;="&amp;tblData[Dep DateTime])</f>
        <v>110</v>
      </c>
      <c r="BE90" s="72">
        <f>COUNTIF(tblData[ShuttleAtDeparture],"&lt;="&amp;tblData[ShuttleAtDeparture])</f>
        <v>0</v>
      </c>
      <c r="BI90" s="6" t="str">
        <f t="array" ref="BI90">IF(ROWS(tblData[[#Headers],[Id]]:tblData[[#This Row],[Id]])-1&gt;$BI$11,"",INDEX(tblData[Id],SMALL(IF(LEN(TRIM(tblData[Surname]))*((tblData[Type]=$BI$9)+(tblData[Type]=$BI$10)),ROW(tblData[Id])-ROW(tblData[[#Headers],[Id]])),ROWS(tblData[[#Headers],[Id]]:tblData[[#This Row],[Id]])-1)))</f>
        <v/>
      </c>
      <c r="BK90" s="6" t="str">
        <f>IF(ROWS(tblCoachesAndOfficialsSorted[[#Headers],[Id]]:tblCoachesAndOfficialsSorted[[#This Row],[Id]])-1&gt;$BK$11,"",SMALL(tblCoachesAndOfficials[Id],ROWS(tblCoachesAndOfficialsSorted[[#Headers],[Id]]:tblCoachesAndOfficialsSorted[[#This Row],[Id]])-1))</f>
        <v/>
      </c>
      <c r="BM90" s="6" t="str">
        <f t="array" ref="BM90">IF(ROWS(tblData[[#Headers],[Id]]:tblData[[#This Row],[Id]])-1&gt;$BM$11,"",INDEX(tblData[Id],SMALL(IF(LEN(TRIM(tblData[Surname]))*(tblData[Type]=$BM$9),ROW(tblData[Id])-ROW(tblData[[#Headers],[Id]])),ROWS(tblData[[#Headers],[Id]]:tblData[[#This Row],[Id]])-1)))</f>
        <v/>
      </c>
      <c r="BO90" s="6" t="str">
        <f>IF(ROWS(tblWomenSorted[[#Headers],[Id]]:tblWomenSorted[[#This Row],[Id]])-1&gt;$BO$11,"",SMALL(tblWomen[Id],ROWS(tblWomenSorted[[#Headers],[Id]]:tblWomenSorted[[#This Row],[Id]])-1))</f>
        <v/>
      </c>
      <c r="BP90" s="17"/>
      <c r="BQ90" s="6" t="str">
        <f t="array" ref="BQ90">IF(ROWS(tblData[[#Headers],[Id]]:tblData[[#This Row],[Id]])-1&gt;$BQ$11,"",INDEX(tblData[Id],SMALL(IF(LEN(TRIM(tblData[Surname]))*(tblData[Type]=$BQ$9),ROW(tblData[Id])-ROW(tblData[[#Headers],[Id]])),ROWS(tblData[[#Headers],[Id]]:tblData[[#This Row],[Id]])-1)))</f>
        <v/>
      </c>
      <c r="BS90" s="6" t="str">
        <f>IF(ROWS(tblMenSorted[[#Headers],[Id]]:tblMenSorted[[#This Row],[Id]])-1&gt;$BS$11,"",SMALL(tblMen[Id],ROWS(tblMenSorted[[#Headers],[Id]]:tblMenSorted[[#This Row],[Id]])-1))</f>
        <v/>
      </c>
      <c r="BU90" s="6" t="str">
        <f t="array" ref="BU90">IF(ROWS(tblData[[#Headers],[Sorted Name Id]]:tblData[[#This Row],[Sorted Name Id]])-1&gt;$BU$11,"",INDEX(tblData[Sorted Name Id],SMALL(IF(LEN(TRIM(tblData[Surname]))*(tblData[Visa required]="YES"),ROW(tblData[Sorted Name Id])-ROW(tblData[[#Headers],[Sorted Name Id]])),ROWS(tblData[[#Headers],[Sorted Name Id]]:tblData[[#This Row],[Sorted Name Id]])-1)))</f>
        <v/>
      </c>
      <c r="BW90" s="6" t="str">
        <f>IF(ROWS(tblVisasSorted[[#Headers],[Id]]:tblVisasSorted[[#This Row],[Id]])-1&gt;$BW$11,"",SMALL(tblVisas[Id],ROWS(tblVisasSorted[[#Headers],[Id]]:tblVisasSorted[[#This Row],[Id]])-1))</f>
        <v/>
      </c>
      <c r="BY90" s="6" t="str">
        <f t="array" ref="BY90">IF(ROWS(tblData[[#Headers],[Sorted Arr Id]]:tblData[[#This Row],[Sorted Arr Id]])-1&gt;$BY$11,"",INDEX(tblData[Sorted Arr Id],SMALL(IF(LEN(TRIM(tblData[Surname]))*(tblData[Arr DateTime]&gt;0),ROW(tblData[Sorted Arr Id])-ROW(tblData[[#Headers],[Sorted Arr Id]])),ROWS(tblData[[#Headers],[Sorted Arr Id]]:tblData[[#This Row],[Sorted Arr Id]])-1)))</f>
        <v/>
      </c>
      <c r="CA90" s="6" t="str">
        <f>IF(ROWS(tblArrivalSorted[[#Headers],[Id]]:tblArrivalSorted[[#This Row],[Id]])-1&gt;$CA$11,"",SMALL(tblArrival[Id],ROWS(tblArrivalSorted[[#Headers],[Id]]:tblArrivalSorted[[#This Row],[Id]])-1))</f>
        <v/>
      </c>
      <c r="CC90" s="6" t="str">
        <f t="array" ref="CC90">IF(ROWS(tblData[[#Headers],[Sorted Dep Id]]:tblData[[#This Row],[Sorted Dep Id]])-1&gt;$CC$11,"",INDEX(tblData[Sorted Dep Id],SMALL(IF(LEN(TRIM(tblData[Surname]))*(tblData[Dep DateTime]&gt;0),ROW(tblData[Sorted Dep Id])-ROW(tblData[[#Headers],[Sorted Dep Id]])),ROWS(tblData[[#Headers],[Sorted Dep Id]]:tblData[[#This Row],[Sorted Dep Id]])-1)))</f>
        <v/>
      </c>
      <c r="CE90" s="6" t="str">
        <f>IF(ROWS(tblDepartureSorted[[#Headers],[Id]]:tblDepartureSorted[[#This Row],[Id]])-1&gt;$CE$11,"",SMALL(tblDeparture[Id],ROWS(tblDepartureSorted[[#Headers],[Id]]:tblDepartureSorted[[#This Row],[Id]])-1))</f>
        <v/>
      </c>
      <c r="CG90" s="6" t="str">
        <f t="array" ref="CG90">IF(ROWS(tblData[[#Headers],[Id]]:tblData[[#This Row],[Id]])-1&gt;$CG$11,"",INDEX(tblData[Id],SMALL(IF(LEN(TRIM(tblData[Surname])),ROW(tblData[Id])-ROW(tblData[[#Headers],[Id]])),ROWS(tblData[[#Headers],[Id]]:tblData[[#This Row],[Id]])-1)))</f>
        <v/>
      </c>
    </row>
    <row r="91" spans="1:85" s="6" customFormat="1">
      <c r="A91" s="14">
        <f>IF(ISNUMBER(tblData[[#This Row],[SubType2]]),tblData[[#This Row],[SubType2]]*10000+tblData[[#This Row],[No]],1000000+tblData[[#This Row],[No]])</f>
        <v>1000078</v>
      </c>
      <c r="B91" s="14">
        <f>IFERROR(tblData[[#This Row],[Surname Rang]]*1000+tblData[[#This Row],[Given Name Rang]]+tblData[[#This Row],[No]]/1000,"")</f>
        <v>7.8E-2</v>
      </c>
      <c r="C91" s="14">
        <f>IFERROR(tblData[[#This Row],[Arr DateTime Rang]]+tblData[[#This Row],[No]]/1000,"")</f>
        <v>110.078</v>
      </c>
      <c r="D91" s="14">
        <f>IFERROR(tblData[[#This Row],[Dep DateTime Rang]]+tblData[[#This Row],[No]]/1000,"")</f>
        <v>110.078</v>
      </c>
      <c r="E91" s="362">
        <f t="shared" si="1"/>
        <v>78</v>
      </c>
      <c r="F91" s="370"/>
      <c r="G91" s="331"/>
      <c r="H91" s="328"/>
      <c r="I91" s="329"/>
      <c r="J91" s="330"/>
      <c r="K91" s="369"/>
      <c r="L91" s="375"/>
      <c r="M91" s="331"/>
      <c r="N91" s="331"/>
      <c r="O91" s="331"/>
      <c r="P91" s="329"/>
      <c r="Q91" s="376"/>
      <c r="R91" s="383"/>
      <c r="S91" s="332"/>
      <c r="T91" s="331"/>
      <c r="U91" s="333"/>
      <c r="V91" s="333"/>
      <c r="W91" s="384"/>
      <c r="X91" s="383"/>
      <c r="Y91" s="332"/>
      <c r="Z91" s="331"/>
      <c r="AA91" s="331"/>
      <c r="AB91" s="333"/>
      <c r="AC91" s="384"/>
      <c r="AD91" s="375"/>
      <c r="AE91" s="369"/>
      <c r="AF91" s="397"/>
      <c r="AG91" s="328"/>
      <c r="AH91" s="328"/>
      <c r="AI91" s="328"/>
      <c r="AJ91" s="328"/>
      <c r="AK91" s="328"/>
      <c r="AL91" s="328"/>
      <c r="AM91" s="328"/>
      <c r="AN91" s="398"/>
      <c r="AO91" s="402" t="str">
        <f>IF(ISBLANK(tblData[[#This Row],[Surname]]),"",IF(tblData[[#This Row],[Bill Accred Fee]]=0,"NO","YES"))</f>
        <v/>
      </c>
      <c r="AP91" s="406">
        <f>IF(AND(NOT(ISBLANK(tblData[[#This Row],[Surname]])),COUNTA(tblData[[#This Row],[Day 1]:[Day 9]])=0),1,0)</f>
        <v>0</v>
      </c>
      <c r="AQ91" s="406">
        <f>IF(AND(NOT(ISBLANK(tblData[[#This Row],[Surname]])),tblData[[#This Row],[Position]]="Athlete"),1,0)</f>
        <v>0</v>
      </c>
      <c r="AR91" s="433">
        <f>EntryFee*tblData[[#This Row],[Entry Fee Billable]]</f>
        <v>0</v>
      </c>
      <c r="AS91" s="410" t="e">
        <f>IF(ISBLANK(SelectedCategory),"No Cat!",IF(ISBLANK($F91),0,IFERROR(VLOOKUP(AS$12&amp;", "&amp;tblData[[#This Row],[Day 1]],tblAccommodationCosts[],5,FALSE),0)+IFERROR(VLOOKUP(AS$12&amp;", "&amp;tblData[[#This Row],[Day 2]],tblAccommodationCosts[],5,FALSE),0)+IFERROR(VLOOKUP(AS$12&amp;", "&amp;tblData[[#This Row],[Day 3]],tblAccommodationCosts[],5,FALSE),0)+IFERROR(VLOOKUP(AS$12&amp;", "&amp;tblData[[#This Row],[Day 4]],tblAccommodationCosts[],5,FALSE),0)+IFERROR(VLOOKUP(AS$12&amp;", "&amp;tblData[[#This Row],[Day 5]],tblAccommodationCosts[],5,FALSE),0)+IFERROR(VLOOKUP(AS$12&amp;", "&amp;tblData[[#This Row],[Day 6]],tblAccommodationCosts[],5,FALSE),0)+IFERROR(VLOOKUP(AS$12&amp;", "&amp;tblData[[#This Row],[Day 7]],tblAccommodationCosts[],5,FALSE),0)+IFERROR(VLOOKUP(AS$12&amp;", "&amp;tblData[[#This Row],[Day 8]],tblAccommodationCosts[],5,FALSE),0)+IFERROR(VLOOKUP(AS$12&amp;", "&amp;tblData[[#This Row],[Day 9]],tblAccommodationCosts[],5,FALSE),0)+AccreditationFee*tblData[[#This Row],[Bill Accred Fee]]))+tblData[[#This Row],[Entry Fee]]</f>
        <v>#VALUE!</v>
      </c>
      <c r="AT91" s="324" t="str">
        <f>IFERROR(VLOOKUP(tblData[[#This Row],[Weight Category, Function, and Gender]],tblWeightOrFunction[],3,0),"")</f>
        <v/>
      </c>
      <c r="AU91" s="84" t="str">
        <f>IFERROR(VLOOKUP(tblData[[#This Row],[Weight Category, Function, and Gender]],tblWeightOrFunction[],4,0),"")</f>
        <v/>
      </c>
      <c r="AV91" s="85" t="str">
        <f>IFERROR(VLOOKUP(tblData[[#This Row],[Weight Category, Function, and Gender]],tblWeightOrFunction[],7,0),"")</f>
        <v/>
      </c>
      <c r="AW91" s="84" t="str">
        <f>IFERROR(VLOOKUP(tblData[[#This Row],[Weight Category, Function, and Gender]],tblWeightOrFunction[],6,0),"")</f>
        <v/>
      </c>
      <c r="AX91" s="84" t="str">
        <f>IFERROR(VLOOKUP(tblData[[#This Row],[Weight Category, Function, and Gender]],tblWeightOrFunction[],2,0),"")</f>
        <v/>
      </c>
      <c r="AY91" s="75">
        <f>tblData[[#This Row],[Arr Date]]+tblData[[#This Row],[Arr Time]]</f>
        <v>0</v>
      </c>
      <c r="AZ91" s="75">
        <f>tblData[[#This Row],[Dep Date]]+tblData[[#This Row],[Dep Time]]</f>
        <v>0</v>
      </c>
      <c r="BA91" s="72">
        <f>COUNTIF(tblData[Surname],"&lt;="&amp;tblData[Surname])</f>
        <v>0</v>
      </c>
      <c r="BB91" s="72">
        <f>COUNTIF(tblData[Given name],"&lt;="&amp;tblData[Given name])</f>
        <v>0</v>
      </c>
      <c r="BC91" s="72">
        <f>COUNTIF(tblData[Arr DateTime],"&lt;="&amp;tblData[Arr DateTime])</f>
        <v>110</v>
      </c>
      <c r="BD91" s="72">
        <f>COUNTIF(tblData[Dep DateTime],"&lt;="&amp;tblData[Dep DateTime])</f>
        <v>110</v>
      </c>
      <c r="BE91" s="72">
        <f>COUNTIF(tblData[ShuttleAtDeparture],"&lt;="&amp;tblData[ShuttleAtDeparture])</f>
        <v>0</v>
      </c>
      <c r="BI91" s="6" t="str">
        <f t="array" ref="BI91">IF(ROWS(tblData[[#Headers],[Id]]:tblData[[#This Row],[Id]])-1&gt;$BI$11,"",INDEX(tblData[Id],SMALL(IF(LEN(TRIM(tblData[Surname]))*((tblData[Type]=$BI$9)+(tblData[Type]=$BI$10)),ROW(tblData[Id])-ROW(tblData[[#Headers],[Id]])),ROWS(tblData[[#Headers],[Id]]:tblData[[#This Row],[Id]])-1)))</f>
        <v/>
      </c>
      <c r="BK91" s="6" t="str">
        <f>IF(ROWS(tblCoachesAndOfficialsSorted[[#Headers],[Id]]:tblCoachesAndOfficialsSorted[[#This Row],[Id]])-1&gt;$BK$11,"",SMALL(tblCoachesAndOfficials[Id],ROWS(tblCoachesAndOfficialsSorted[[#Headers],[Id]]:tblCoachesAndOfficialsSorted[[#This Row],[Id]])-1))</f>
        <v/>
      </c>
      <c r="BM91" s="6" t="str">
        <f t="array" ref="BM91">IF(ROWS(tblData[[#Headers],[Id]]:tblData[[#This Row],[Id]])-1&gt;$BM$11,"",INDEX(tblData[Id],SMALL(IF(LEN(TRIM(tblData[Surname]))*(tblData[Type]=$BM$9),ROW(tblData[Id])-ROW(tblData[[#Headers],[Id]])),ROWS(tblData[[#Headers],[Id]]:tblData[[#This Row],[Id]])-1)))</f>
        <v/>
      </c>
      <c r="BO91" s="6" t="str">
        <f>IF(ROWS(tblWomenSorted[[#Headers],[Id]]:tblWomenSorted[[#This Row],[Id]])-1&gt;$BO$11,"",SMALL(tblWomen[Id],ROWS(tblWomenSorted[[#Headers],[Id]]:tblWomenSorted[[#This Row],[Id]])-1))</f>
        <v/>
      </c>
      <c r="BP91" s="17"/>
      <c r="BQ91" s="6" t="str">
        <f t="array" ref="BQ91">IF(ROWS(tblData[[#Headers],[Id]]:tblData[[#This Row],[Id]])-1&gt;$BQ$11,"",INDEX(tblData[Id],SMALL(IF(LEN(TRIM(tblData[Surname]))*(tblData[Type]=$BQ$9),ROW(tblData[Id])-ROW(tblData[[#Headers],[Id]])),ROWS(tblData[[#Headers],[Id]]:tblData[[#This Row],[Id]])-1)))</f>
        <v/>
      </c>
      <c r="BS91" s="6" t="str">
        <f>IF(ROWS(tblMenSorted[[#Headers],[Id]]:tblMenSorted[[#This Row],[Id]])-1&gt;$BS$11,"",SMALL(tblMen[Id],ROWS(tblMenSorted[[#Headers],[Id]]:tblMenSorted[[#This Row],[Id]])-1))</f>
        <v/>
      </c>
      <c r="BU91" s="6" t="str">
        <f t="array" ref="BU91">IF(ROWS(tblData[[#Headers],[Sorted Name Id]]:tblData[[#This Row],[Sorted Name Id]])-1&gt;$BU$11,"",INDEX(tblData[Sorted Name Id],SMALL(IF(LEN(TRIM(tblData[Surname]))*(tblData[Visa required]="YES"),ROW(tblData[Sorted Name Id])-ROW(tblData[[#Headers],[Sorted Name Id]])),ROWS(tblData[[#Headers],[Sorted Name Id]]:tblData[[#This Row],[Sorted Name Id]])-1)))</f>
        <v/>
      </c>
      <c r="BW91" s="6" t="str">
        <f>IF(ROWS(tblVisasSorted[[#Headers],[Id]]:tblVisasSorted[[#This Row],[Id]])-1&gt;$BW$11,"",SMALL(tblVisas[Id],ROWS(tblVisasSorted[[#Headers],[Id]]:tblVisasSorted[[#This Row],[Id]])-1))</f>
        <v/>
      </c>
      <c r="BY91" s="6" t="str">
        <f t="array" ref="BY91">IF(ROWS(tblData[[#Headers],[Sorted Arr Id]]:tblData[[#This Row],[Sorted Arr Id]])-1&gt;$BY$11,"",INDEX(tblData[Sorted Arr Id],SMALL(IF(LEN(TRIM(tblData[Surname]))*(tblData[Arr DateTime]&gt;0),ROW(tblData[Sorted Arr Id])-ROW(tblData[[#Headers],[Sorted Arr Id]])),ROWS(tblData[[#Headers],[Sorted Arr Id]]:tblData[[#This Row],[Sorted Arr Id]])-1)))</f>
        <v/>
      </c>
      <c r="CA91" s="6" t="str">
        <f>IF(ROWS(tblArrivalSorted[[#Headers],[Id]]:tblArrivalSorted[[#This Row],[Id]])-1&gt;$CA$11,"",SMALL(tblArrival[Id],ROWS(tblArrivalSorted[[#Headers],[Id]]:tblArrivalSorted[[#This Row],[Id]])-1))</f>
        <v/>
      </c>
      <c r="CC91" s="6" t="str">
        <f t="array" ref="CC91">IF(ROWS(tblData[[#Headers],[Sorted Dep Id]]:tblData[[#This Row],[Sorted Dep Id]])-1&gt;$CC$11,"",INDEX(tblData[Sorted Dep Id],SMALL(IF(LEN(TRIM(tblData[Surname]))*(tblData[Dep DateTime]&gt;0),ROW(tblData[Sorted Dep Id])-ROW(tblData[[#Headers],[Sorted Dep Id]])),ROWS(tblData[[#Headers],[Sorted Dep Id]]:tblData[[#This Row],[Sorted Dep Id]])-1)))</f>
        <v/>
      </c>
      <c r="CE91" s="6" t="str">
        <f>IF(ROWS(tblDepartureSorted[[#Headers],[Id]]:tblDepartureSorted[[#This Row],[Id]])-1&gt;$CE$11,"",SMALL(tblDeparture[Id],ROWS(tblDepartureSorted[[#Headers],[Id]]:tblDepartureSorted[[#This Row],[Id]])-1))</f>
        <v/>
      </c>
      <c r="CG91" s="6" t="str">
        <f t="array" ref="CG91">IF(ROWS(tblData[[#Headers],[Id]]:tblData[[#This Row],[Id]])-1&gt;$CG$11,"",INDEX(tblData[Id],SMALL(IF(LEN(TRIM(tblData[Surname])),ROW(tblData[Id])-ROW(tblData[[#Headers],[Id]])),ROWS(tblData[[#Headers],[Id]]:tblData[[#This Row],[Id]])-1)))</f>
        <v/>
      </c>
    </row>
    <row r="92" spans="1:85" s="6" customFormat="1">
      <c r="A92" s="14">
        <f>IF(ISNUMBER(tblData[[#This Row],[SubType2]]),tblData[[#This Row],[SubType2]]*10000+tblData[[#This Row],[No]],1000000+tblData[[#This Row],[No]])</f>
        <v>1000079</v>
      </c>
      <c r="B92" s="14">
        <f>IFERROR(tblData[[#This Row],[Surname Rang]]*1000+tblData[[#This Row],[Given Name Rang]]+tblData[[#This Row],[No]]/1000,"")</f>
        <v>7.9000000000000001E-2</v>
      </c>
      <c r="C92" s="14">
        <f>IFERROR(tblData[[#This Row],[Arr DateTime Rang]]+tblData[[#This Row],[No]]/1000,"")</f>
        <v>110.07899999999999</v>
      </c>
      <c r="D92" s="14">
        <f>IFERROR(tblData[[#This Row],[Dep DateTime Rang]]+tblData[[#This Row],[No]]/1000,"")</f>
        <v>110.07899999999999</v>
      </c>
      <c r="E92" s="362">
        <f t="shared" si="1"/>
        <v>79</v>
      </c>
      <c r="F92" s="370"/>
      <c r="G92" s="331"/>
      <c r="H92" s="328"/>
      <c r="I92" s="329"/>
      <c r="J92" s="330"/>
      <c r="K92" s="369"/>
      <c r="L92" s="375"/>
      <c r="M92" s="331"/>
      <c r="N92" s="331"/>
      <c r="O92" s="331"/>
      <c r="P92" s="329"/>
      <c r="Q92" s="376"/>
      <c r="R92" s="383"/>
      <c r="S92" s="332"/>
      <c r="T92" s="331"/>
      <c r="U92" s="333"/>
      <c r="V92" s="333"/>
      <c r="W92" s="384"/>
      <c r="X92" s="383"/>
      <c r="Y92" s="332"/>
      <c r="Z92" s="331"/>
      <c r="AA92" s="331"/>
      <c r="AB92" s="333"/>
      <c r="AC92" s="384"/>
      <c r="AD92" s="375"/>
      <c r="AE92" s="369"/>
      <c r="AF92" s="397"/>
      <c r="AG92" s="328"/>
      <c r="AH92" s="328"/>
      <c r="AI92" s="328"/>
      <c r="AJ92" s="328"/>
      <c r="AK92" s="328"/>
      <c r="AL92" s="328"/>
      <c r="AM92" s="328"/>
      <c r="AN92" s="398"/>
      <c r="AO92" s="402" t="str">
        <f>IF(ISBLANK(tblData[[#This Row],[Surname]]),"",IF(tblData[[#This Row],[Bill Accred Fee]]=0,"NO","YES"))</f>
        <v/>
      </c>
      <c r="AP92" s="406">
        <f>IF(AND(NOT(ISBLANK(tblData[[#This Row],[Surname]])),COUNTA(tblData[[#This Row],[Day 1]:[Day 9]])=0),1,0)</f>
        <v>0</v>
      </c>
      <c r="AQ92" s="406">
        <f>IF(AND(NOT(ISBLANK(tblData[[#This Row],[Surname]])),tblData[[#This Row],[Position]]="Athlete"),1,0)</f>
        <v>0</v>
      </c>
      <c r="AR92" s="433">
        <f>EntryFee*tblData[[#This Row],[Entry Fee Billable]]</f>
        <v>0</v>
      </c>
      <c r="AS92" s="410" t="e">
        <f>IF(ISBLANK(SelectedCategory),"No Cat!",IF(ISBLANK($F92),0,IFERROR(VLOOKUP(AS$12&amp;", "&amp;tblData[[#This Row],[Day 1]],tblAccommodationCosts[],5,FALSE),0)+IFERROR(VLOOKUP(AS$12&amp;", "&amp;tblData[[#This Row],[Day 2]],tblAccommodationCosts[],5,FALSE),0)+IFERROR(VLOOKUP(AS$12&amp;", "&amp;tblData[[#This Row],[Day 3]],tblAccommodationCosts[],5,FALSE),0)+IFERROR(VLOOKUP(AS$12&amp;", "&amp;tblData[[#This Row],[Day 4]],tblAccommodationCosts[],5,FALSE),0)+IFERROR(VLOOKUP(AS$12&amp;", "&amp;tblData[[#This Row],[Day 5]],tblAccommodationCosts[],5,FALSE),0)+IFERROR(VLOOKUP(AS$12&amp;", "&amp;tblData[[#This Row],[Day 6]],tblAccommodationCosts[],5,FALSE),0)+IFERROR(VLOOKUP(AS$12&amp;", "&amp;tblData[[#This Row],[Day 7]],tblAccommodationCosts[],5,FALSE),0)+IFERROR(VLOOKUP(AS$12&amp;", "&amp;tblData[[#This Row],[Day 8]],tblAccommodationCosts[],5,FALSE),0)+IFERROR(VLOOKUP(AS$12&amp;", "&amp;tblData[[#This Row],[Day 9]],tblAccommodationCosts[],5,FALSE),0)+AccreditationFee*tblData[[#This Row],[Bill Accred Fee]]))+tblData[[#This Row],[Entry Fee]]</f>
        <v>#VALUE!</v>
      </c>
      <c r="AT92" s="324" t="str">
        <f>IFERROR(VLOOKUP(tblData[[#This Row],[Weight Category, Function, and Gender]],tblWeightOrFunction[],3,0),"")</f>
        <v/>
      </c>
      <c r="AU92" s="84" t="str">
        <f>IFERROR(VLOOKUP(tblData[[#This Row],[Weight Category, Function, and Gender]],tblWeightOrFunction[],4,0),"")</f>
        <v/>
      </c>
      <c r="AV92" s="85" t="str">
        <f>IFERROR(VLOOKUP(tblData[[#This Row],[Weight Category, Function, and Gender]],tblWeightOrFunction[],7,0),"")</f>
        <v/>
      </c>
      <c r="AW92" s="84" t="str">
        <f>IFERROR(VLOOKUP(tblData[[#This Row],[Weight Category, Function, and Gender]],tblWeightOrFunction[],6,0),"")</f>
        <v/>
      </c>
      <c r="AX92" s="84" t="str">
        <f>IFERROR(VLOOKUP(tblData[[#This Row],[Weight Category, Function, and Gender]],tblWeightOrFunction[],2,0),"")</f>
        <v/>
      </c>
      <c r="AY92" s="75">
        <f>tblData[[#This Row],[Arr Date]]+tblData[[#This Row],[Arr Time]]</f>
        <v>0</v>
      </c>
      <c r="AZ92" s="75">
        <f>tblData[[#This Row],[Dep Date]]+tblData[[#This Row],[Dep Time]]</f>
        <v>0</v>
      </c>
      <c r="BA92" s="72">
        <f>COUNTIF(tblData[Surname],"&lt;="&amp;tblData[Surname])</f>
        <v>0</v>
      </c>
      <c r="BB92" s="72">
        <f>COUNTIF(tblData[Given name],"&lt;="&amp;tblData[Given name])</f>
        <v>0</v>
      </c>
      <c r="BC92" s="72">
        <f>COUNTIF(tblData[Arr DateTime],"&lt;="&amp;tblData[Arr DateTime])</f>
        <v>110</v>
      </c>
      <c r="BD92" s="72">
        <f>COUNTIF(tblData[Dep DateTime],"&lt;="&amp;tblData[Dep DateTime])</f>
        <v>110</v>
      </c>
      <c r="BE92" s="72">
        <f>COUNTIF(tblData[ShuttleAtDeparture],"&lt;="&amp;tblData[ShuttleAtDeparture])</f>
        <v>0</v>
      </c>
      <c r="BI92" s="6" t="str">
        <f t="array" ref="BI92">IF(ROWS(tblData[[#Headers],[Id]]:tblData[[#This Row],[Id]])-1&gt;$BI$11,"",INDEX(tblData[Id],SMALL(IF(LEN(TRIM(tblData[Surname]))*((tblData[Type]=$BI$9)+(tblData[Type]=$BI$10)),ROW(tblData[Id])-ROW(tblData[[#Headers],[Id]])),ROWS(tblData[[#Headers],[Id]]:tblData[[#This Row],[Id]])-1)))</f>
        <v/>
      </c>
      <c r="BK92" s="6" t="str">
        <f>IF(ROWS(tblCoachesAndOfficialsSorted[[#Headers],[Id]]:tblCoachesAndOfficialsSorted[[#This Row],[Id]])-1&gt;$BK$11,"",SMALL(tblCoachesAndOfficials[Id],ROWS(tblCoachesAndOfficialsSorted[[#Headers],[Id]]:tblCoachesAndOfficialsSorted[[#This Row],[Id]])-1))</f>
        <v/>
      </c>
      <c r="BM92" s="6" t="str">
        <f t="array" ref="BM92">IF(ROWS(tblData[[#Headers],[Id]]:tblData[[#This Row],[Id]])-1&gt;$BM$11,"",INDEX(tblData[Id],SMALL(IF(LEN(TRIM(tblData[Surname]))*(tblData[Type]=$BM$9),ROW(tblData[Id])-ROW(tblData[[#Headers],[Id]])),ROWS(tblData[[#Headers],[Id]]:tblData[[#This Row],[Id]])-1)))</f>
        <v/>
      </c>
      <c r="BO92" s="6" t="str">
        <f>IF(ROWS(tblWomenSorted[[#Headers],[Id]]:tblWomenSorted[[#This Row],[Id]])-1&gt;$BO$11,"",SMALL(tblWomen[Id],ROWS(tblWomenSorted[[#Headers],[Id]]:tblWomenSorted[[#This Row],[Id]])-1))</f>
        <v/>
      </c>
      <c r="BP92" s="17"/>
      <c r="BQ92" s="6" t="str">
        <f t="array" ref="BQ92">IF(ROWS(tblData[[#Headers],[Id]]:tblData[[#This Row],[Id]])-1&gt;$BQ$11,"",INDEX(tblData[Id],SMALL(IF(LEN(TRIM(tblData[Surname]))*(tblData[Type]=$BQ$9),ROW(tblData[Id])-ROW(tblData[[#Headers],[Id]])),ROWS(tblData[[#Headers],[Id]]:tblData[[#This Row],[Id]])-1)))</f>
        <v/>
      </c>
      <c r="BS92" s="6" t="str">
        <f>IF(ROWS(tblMenSorted[[#Headers],[Id]]:tblMenSorted[[#This Row],[Id]])-1&gt;$BS$11,"",SMALL(tblMen[Id],ROWS(tblMenSorted[[#Headers],[Id]]:tblMenSorted[[#This Row],[Id]])-1))</f>
        <v/>
      </c>
      <c r="BU92" s="6" t="str">
        <f t="array" ref="BU92">IF(ROWS(tblData[[#Headers],[Sorted Name Id]]:tblData[[#This Row],[Sorted Name Id]])-1&gt;$BU$11,"",INDEX(tblData[Sorted Name Id],SMALL(IF(LEN(TRIM(tblData[Surname]))*(tblData[Visa required]="YES"),ROW(tblData[Sorted Name Id])-ROW(tblData[[#Headers],[Sorted Name Id]])),ROWS(tblData[[#Headers],[Sorted Name Id]]:tblData[[#This Row],[Sorted Name Id]])-1)))</f>
        <v/>
      </c>
      <c r="BW92" s="6" t="str">
        <f>IF(ROWS(tblVisasSorted[[#Headers],[Id]]:tblVisasSorted[[#This Row],[Id]])-1&gt;$BW$11,"",SMALL(tblVisas[Id],ROWS(tblVisasSorted[[#Headers],[Id]]:tblVisasSorted[[#This Row],[Id]])-1))</f>
        <v/>
      </c>
      <c r="BY92" s="6" t="str">
        <f t="array" ref="BY92">IF(ROWS(tblData[[#Headers],[Sorted Arr Id]]:tblData[[#This Row],[Sorted Arr Id]])-1&gt;$BY$11,"",INDEX(tblData[Sorted Arr Id],SMALL(IF(LEN(TRIM(tblData[Surname]))*(tblData[Arr DateTime]&gt;0),ROW(tblData[Sorted Arr Id])-ROW(tblData[[#Headers],[Sorted Arr Id]])),ROWS(tblData[[#Headers],[Sorted Arr Id]]:tblData[[#This Row],[Sorted Arr Id]])-1)))</f>
        <v/>
      </c>
      <c r="CA92" s="6" t="str">
        <f>IF(ROWS(tblArrivalSorted[[#Headers],[Id]]:tblArrivalSorted[[#This Row],[Id]])-1&gt;$CA$11,"",SMALL(tblArrival[Id],ROWS(tblArrivalSorted[[#Headers],[Id]]:tblArrivalSorted[[#This Row],[Id]])-1))</f>
        <v/>
      </c>
      <c r="CC92" s="6" t="str">
        <f t="array" ref="CC92">IF(ROWS(tblData[[#Headers],[Sorted Dep Id]]:tblData[[#This Row],[Sorted Dep Id]])-1&gt;$CC$11,"",INDEX(tblData[Sorted Dep Id],SMALL(IF(LEN(TRIM(tblData[Surname]))*(tblData[Dep DateTime]&gt;0),ROW(tblData[Sorted Dep Id])-ROW(tblData[[#Headers],[Sorted Dep Id]])),ROWS(tblData[[#Headers],[Sorted Dep Id]]:tblData[[#This Row],[Sorted Dep Id]])-1)))</f>
        <v/>
      </c>
      <c r="CE92" s="6" t="str">
        <f>IF(ROWS(tblDepartureSorted[[#Headers],[Id]]:tblDepartureSorted[[#This Row],[Id]])-1&gt;$CE$11,"",SMALL(tblDeparture[Id],ROWS(tblDepartureSorted[[#Headers],[Id]]:tblDepartureSorted[[#This Row],[Id]])-1))</f>
        <v/>
      </c>
      <c r="CG92" s="6" t="str">
        <f t="array" ref="CG92">IF(ROWS(tblData[[#Headers],[Id]]:tblData[[#This Row],[Id]])-1&gt;$CG$11,"",INDEX(tblData[Id],SMALL(IF(LEN(TRIM(tblData[Surname])),ROW(tblData[Id])-ROW(tblData[[#Headers],[Id]])),ROWS(tblData[[#Headers],[Id]]:tblData[[#This Row],[Id]])-1)))</f>
        <v/>
      </c>
    </row>
    <row r="93" spans="1:85" s="6" customFormat="1">
      <c r="A93" s="14">
        <f>IF(ISNUMBER(tblData[[#This Row],[SubType2]]),tblData[[#This Row],[SubType2]]*10000+tblData[[#This Row],[No]],1000000+tblData[[#This Row],[No]])</f>
        <v>1000080</v>
      </c>
      <c r="B93" s="14">
        <f>IFERROR(tblData[[#This Row],[Surname Rang]]*1000+tblData[[#This Row],[Given Name Rang]]+tblData[[#This Row],[No]]/1000,"")</f>
        <v>0.08</v>
      </c>
      <c r="C93" s="14">
        <f>IFERROR(tblData[[#This Row],[Arr DateTime Rang]]+tblData[[#This Row],[No]]/1000,"")</f>
        <v>110.08</v>
      </c>
      <c r="D93" s="14">
        <f>IFERROR(tblData[[#This Row],[Dep DateTime Rang]]+tblData[[#This Row],[No]]/1000,"")</f>
        <v>110.08</v>
      </c>
      <c r="E93" s="362">
        <f t="shared" si="1"/>
        <v>80</v>
      </c>
      <c r="F93" s="370"/>
      <c r="G93" s="331"/>
      <c r="H93" s="328"/>
      <c r="I93" s="329"/>
      <c r="J93" s="330"/>
      <c r="K93" s="369"/>
      <c r="L93" s="375"/>
      <c r="M93" s="331"/>
      <c r="N93" s="331"/>
      <c r="O93" s="331"/>
      <c r="P93" s="329"/>
      <c r="Q93" s="376"/>
      <c r="R93" s="383"/>
      <c r="S93" s="332"/>
      <c r="T93" s="331"/>
      <c r="U93" s="333"/>
      <c r="V93" s="333"/>
      <c r="W93" s="384"/>
      <c r="X93" s="383"/>
      <c r="Y93" s="332"/>
      <c r="Z93" s="331"/>
      <c r="AA93" s="331"/>
      <c r="AB93" s="333"/>
      <c r="AC93" s="384"/>
      <c r="AD93" s="375"/>
      <c r="AE93" s="369"/>
      <c r="AF93" s="397"/>
      <c r="AG93" s="328"/>
      <c r="AH93" s="328"/>
      <c r="AI93" s="328"/>
      <c r="AJ93" s="328"/>
      <c r="AK93" s="328"/>
      <c r="AL93" s="328"/>
      <c r="AM93" s="328"/>
      <c r="AN93" s="398"/>
      <c r="AO93" s="402" t="str">
        <f>IF(ISBLANK(tblData[[#This Row],[Surname]]),"",IF(tblData[[#This Row],[Bill Accred Fee]]=0,"NO","YES"))</f>
        <v/>
      </c>
      <c r="AP93" s="406">
        <f>IF(AND(NOT(ISBLANK(tblData[[#This Row],[Surname]])),COUNTA(tblData[[#This Row],[Day 1]:[Day 9]])=0),1,0)</f>
        <v>0</v>
      </c>
      <c r="AQ93" s="406">
        <f>IF(AND(NOT(ISBLANK(tblData[[#This Row],[Surname]])),tblData[[#This Row],[Position]]="Athlete"),1,0)</f>
        <v>0</v>
      </c>
      <c r="AR93" s="433">
        <f>EntryFee*tblData[[#This Row],[Entry Fee Billable]]</f>
        <v>0</v>
      </c>
      <c r="AS93" s="410" t="e">
        <f>IF(ISBLANK(SelectedCategory),"No Cat!",IF(ISBLANK($F93),0,IFERROR(VLOOKUP(AS$12&amp;", "&amp;tblData[[#This Row],[Day 1]],tblAccommodationCosts[],5,FALSE),0)+IFERROR(VLOOKUP(AS$12&amp;", "&amp;tblData[[#This Row],[Day 2]],tblAccommodationCosts[],5,FALSE),0)+IFERROR(VLOOKUP(AS$12&amp;", "&amp;tblData[[#This Row],[Day 3]],tblAccommodationCosts[],5,FALSE),0)+IFERROR(VLOOKUP(AS$12&amp;", "&amp;tblData[[#This Row],[Day 4]],tblAccommodationCosts[],5,FALSE),0)+IFERROR(VLOOKUP(AS$12&amp;", "&amp;tblData[[#This Row],[Day 5]],tblAccommodationCosts[],5,FALSE),0)+IFERROR(VLOOKUP(AS$12&amp;", "&amp;tblData[[#This Row],[Day 6]],tblAccommodationCosts[],5,FALSE),0)+IFERROR(VLOOKUP(AS$12&amp;", "&amp;tblData[[#This Row],[Day 7]],tblAccommodationCosts[],5,FALSE),0)+IFERROR(VLOOKUP(AS$12&amp;", "&amp;tblData[[#This Row],[Day 8]],tblAccommodationCosts[],5,FALSE),0)+IFERROR(VLOOKUP(AS$12&amp;", "&amp;tblData[[#This Row],[Day 9]],tblAccommodationCosts[],5,FALSE),0)+AccreditationFee*tblData[[#This Row],[Bill Accred Fee]]))+tblData[[#This Row],[Entry Fee]]</f>
        <v>#VALUE!</v>
      </c>
      <c r="AT93" s="324" t="str">
        <f>IFERROR(VLOOKUP(tblData[[#This Row],[Weight Category, Function, and Gender]],tblWeightOrFunction[],3,0),"")</f>
        <v/>
      </c>
      <c r="AU93" s="84" t="str">
        <f>IFERROR(VLOOKUP(tblData[[#This Row],[Weight Category, Function, and Gender]],tblWeightOrFunction[],4,0),"")</f>
        <v/>
      </c>
      <c r="AV93" s="85" t="str">
        <f>IFERROR(VLOOKUP(tblData[[#This Row],[Weight Category, Function, and Gender]],tblWeightOrFunction[],7,0),"")</f>
        <v/>
      </c>
      <c r="AW93" s="84" t="str">
        <f>IFERROR(VLOOKUP(tblData[[#This Row],[Weight Category, Function, and Gender]],tblWeightOrFunction[],6,0),"")</f>
        <v/>
      </c>
      <c r="AX93" s="84" t="str">
        <f>IFERROR(VLOOKUP(tblData[[#This Row],[Weight Category, Function, and Gender]],tblWeightOrFunction[],2,0),"")</f>
        <v/>
      </c>
      <c r="AY93" s="75">
        <f>tblData[[#This Row],[Arr Date]]+tblData[[#This Row],[Arr Time]]</f>
        <v>0</v>
      </c>
      <c r="AZ93" s="75">
        <f>tblData[[#This Row],[Dep Date]]+tblData[[#This Row],[Dep Time]]</f>
        <v>0</v>
      </c>
      <c r="BA93" s="72">
        <f>COUNTIF(tblData[Surname],"&lt;="&amp;tblData[Surname])</f>
        <v>0</v>
      </c>
      <c r="BB93" s="72">
        <f>COUNTIF(tblData[Given name],"&lt;="&amp;tblData[Given name])</f>
        <v>0</v>
      </c>
      <c r="BC93" s="72">
        <f>COUNTIF(tblData[Arr DateTime],"&lt;="&amp;tblData[Arr DateTime])</f>
        <v>110</v>
      </c>
      <c r="BD93" s="72">
        <f>COUNTIF(tblData[Dep DateTime],"&lt;="&amp;tblData[Dep DateTime])</f>
        <v>110</v>
      </c>
      <c r="BE93" s="72">
        <f>COUNTIF(tblData[ShuttleAtDeparture],"&lt;="&amp;tblData[ShuttleAtDeparture])</f>
        <v>0</v>
      </c>
      <c r="BI93" s="6" t="str">
        <f t="array" ref="BI93">IF(ROWS(tblData[[#Headers],[Id]]:tblData[[#This Row],[Id]])-1&gt;$BI$11,"",INDEX(tblData[Id],SMALL(IF(LEN(TRIM(tblData[Surname]))*((tblData[Type]=$BI$9)+(tblData[Type]=$BI$10)),ROW(tblData[Id])-ROW(tblData[[#Headers],[Id]])),ROWS(tblData[[#Headers],[Id]]:tblData[[#This Row],[Id]])-1)))</f>
        <v/>
      </c>
      <c r="BK93" s="6" t="str">
        <f>IF(ROWS(tblCoachesAndOfficialsSorted[[#Headers],[Id]]:tblCoachesAndOfficialsSorted[[#This Row],[Id]])-1&gt;$BK$11,"",SMALL(tblCoachesAndOfficials[Id],ROWS(tblCoachesAndOfficialsSorted[[#Headers],[Id]]:tblCoachesAndOfficialsSorted[[#This Row],[Id]])-1))</f>
        <v/>
      </c>
      <c r="BM93" s="6" t="str">
        <f t="array" ref="BM93">IF(ROWS(tblData[[#Headers],[Id]]:tblData[[#This Row],[Id]])-1&gt;$BM$11,"",INDEX(tblData[Id],SMALL(IF(LEN(TRIM(tblData[Surname]))*(tblData[Type]=$BM$9),ROW(tblData[Id])-ROW(tblData[[#Headers],[Id]])),ROWS(tblData[[#Headers],[Id]]:tblData[[#This Row],[Id]])-1)))</f>
        <v/>
      </c>
      <c r="BO93" s="6" t="str">
        <f>IF(ROWS(tblWomenSorted[[#Headers],[Id]]:tblWomenSorted[[#This Row],[Id]])-1&gt;$BO$11,"",SMALL(tblWomen[Id],ROWS(tblWomenSorted[[#Headers],[Id]]:tblWomenSorted[[#This Row],[Id]])-1))</f>
        <v/>
      </c>
      <c r="BP93" s="17"/>
      <c r="BQ93" s="6" t="str">
        <f t="array" ref="BQ93">IF(ROWS(tblData[[#Headers],[Id]]:tblData[[#This Row],[Id]])-1&gt;$BQ$11,"",INDEX(tblData[Id],SMALL(IF(LEN(TRIM(tblData[Surname]))*(tblData[Type]=$BQ$9),ROW(tblData[Id])-ROW(tblData[[#Headers],[Id]])),ROWS(tblData[[#Headers],[Id]]:tblData[[#This Row],[Id]])-1)))</f>
        <v/>
      </c>
      <c r="BS93" s="6" t="str">
        <f>IF(ROWS(tblMenSorted[[#Headers],[Id]]:tblMenSorted[[#This Row],[Id]])-1&gt;$BS$11,"",SMALL(tblMen[Id],ROWS(tblMenSorted[[#Headers],[Id]]:tblMenSorted[[#This Row],[Id]])-1))</f>
        <v/>
      </c>
      <c r="BU93" s="6" t="str">
        <f t="array" ref="BU93">IF(ROWS(tblData[[#Headers],[Sorted Name Id]]:tblData[[#This Row],[Sorted Name Id]])-1&gt;$BU$11,"",INDEX(tblData[Sorted Name Id],SMALL(IF(LEN(TRIM(tblData[Surname]))*(tblData[Visa required]="YES"),ROW(tblData[Sorted Name Id])-ROW(tblData[[#Headers],[Sorted Name Id]])),ROWS(tblData[[#Headers],[Sorted Name Id]]:tblData[[#This Row],[Sorted Name Id]])-1)))</f>
        <v/>
      </c>
      <c r="BW93" s="6" t="str">
        <f>IF(ROWS(tblVisasSorted[[#Headers],[Id]]:tblVisasSorted[[#This Row],[Id]])-1&gt;$BW$11,"",SMALL(tblVisas[Id],ROWS(tblVisasSorted[[#Headers],[Id]]:tblVisasSorted[[#This Row],[Id]])-1))</f>
        <v/>
      </c>
      <c r="BY93" s="6" t="str">
        <f t="array" ref="BY93">IF(ROWS(tblData[[#Headers],[Sorted Arr Id]]:tblData[[#This Row],[Sorted Arr Id]])-1&gt;$BY$11,"",INDEX(tblData[Sorted Arr Id],SMALL(IF(LEN(TRIM(tblData[Surname]))*(tblData[Arr DateTime]&gt;0),ROW(tblData[Sorted Arr Id])-ROW(tblData[[#Headers],[Sorted Arr Id]])),ROWS(tblData[[#Headers],[Sorted Arr Id]]:tblData[[#This Row],[Sorted Arr Id]])-1)))</f>
        <v/>
      </c>
      <c r="CA93" s="6" t="str">
        <f>IF(ROWS(tblArrivalSorted[[#Headers],[Id]]:tblArrivalSorted[[#This Row],[Id]])-1&gt;$CA$11,"",SMALL(tblArrival[Id],ROWS(tblArrivalSorted[[#Headers],[Id]]:tblArrivalSorted[[#This Row],[Id]])-1))</f>
        <v/>
      </c>
      <c r="CC93" s="6" t="str">
        <f t="array" ref="CC93">IF(ROWS(tblData[[#Headers],[Sorted Dep Id]]:tblData[[#This Row],[Sorted Dep Id]])-1&gt;$CC$11,"",INDEX(tblData[Sorted Dep Id],SMALL(IF(LEN(TRIM(tblData[Surname]))*(tblData[Dep DateTime]&gt;0),ROW(tblData[Sorted Dep Id])-ROW(tblData[[#Headers],[Sorted Dep Id]])),ROWS(tblData[[#Headers],[Sorted Dep Id]]:tblData[[#This Row],[Sorted Dep Id]])-1)))</f>
        <v/>
      </c>
      <c r="CE93" s="6" t="str">
        <f>IF(ROWS(tblDepartureSorted[[#Headers],[Id]]:tblDepartureSorted[[#This Row],[Id]])-1&gt;$CE$11,"",SMALL(tblDeparture[Id],ROWS(tblDepartureSorted[[#Headers],[Id]]:tblDepartureSorted[[#This Row],[Id]])-1))</f>
        <v/>
      </c>
      <c r="CG93" s="6" t="str">
        <f t="array" ref="CG93">IF(ROWS(tblData[[#Headers],[Id]]:tblData[[#This Row],[Id]])-1&gt;$CG$11,"",INDEX(tblData[Id],SMALL(IF(LEN(TRIM(tblData[Surname])),ROW(tblData[Id])-ROW(tblData[[#Headers],[Id]])),ROWS(tblData[[#Headers],[Id]]:tblData[[#This Row],[Id]])-1)))</f>
        <v/>
      </c>
    </row>
    <row r="94" spans="1:85" s="6" customFormat="1">
      <c r="A94" s="14">
        <f>IF(ISNUMBER(tblData[[#This Row],[SubType2]]),tblData[[#This Row],[SubType2]]*10000+tblData[[#This Row],[No]],1000000+tblData[[#This Row],[No]])</f>
        <v>1000081</v>
      </c>
      <c r="B94" s="14">
        <f>IFERROR(tblData[[#This Row],[Surname Rang]]*1000+tblData[[#This Row],[Given Name Rang]]+tblData[[#This Row],[No]]/1000,"")</f>
        <v>8.1000000000000003E-2</v>
      </c>
      <c r="C94" s="14">
        <f>IFERROR(tblData[[#This Row],[Arr DateTime Rang]]+tblData[[#This Row],[No]]/1000,"")</f>
        <v>110.081</v>
      </c>
      <c r="D94" s="14">
        <f>IFERROR(tblData[[#This Row],[Dep DateTime Rang]]+tblData[[#This Row],[No]]/1000,"")</f>
        <v>110.081</v>
      </c>
      <c r="E94" s="362">
        <f t="shared" si="1"/>
        <v>81</v>
      </c>
      <c r="F94" s="370"/>
      <c r="G94" s="331"/>
      <c r="H94" s="328"/>
      <c r="I94" s="329"/>
      <c r="J94" s="330"/>
      <c r="K94" s="369"/>
      <c r="L94" s="375"/>
      <c r="M94" s="331"/>
      <c r="N94" s="331"/>
      <c r="O94" s="331"/>
      <c r="P94" s="329"/>
      <c r="Q94" s="376"/>
      <c r="R94" s="383"/>
      <c r="S94" s="332"/>
      <c r="T94" s="331"/>
      <c r="U94" s="333"/>
      <c r="V94" s="333"/>
      <c r="W94" s="384"/>
      <c r="X94" s="383"/>
      <c r="Y94" s="332"/>
      <c r="Z94" s="331"/>
      <c r="AA94" s="331"/>
      <c r="AB94" s="333"/>
      <c r="AC94" s="384"/>
      <c r="AD94" s="375"/>
      <c r="AE94" s="369"/>
      <c r="AF94" s="397"/>
      <c r="AG94" s="328"/>
      <c r="AH94" s="328"/>
      <c r="AI94" s="328"/>
      <c r="AJ94" s="328"/>
      <c r="AK94" s="328"/>
      <c r="AL94" s="328"/>
      <c r="AM94" s="328"/>
      <c r="AN94" s="398"/>
      <c r="AO94" s="402" t="str">
        <f>IF(ISBLANK(tblData[[#This Row],[Surname]]),"",IF(tblData[[#This Row],[Bill Accred Fee]]=0,"NO","YES"))</f>
        <v/>
      </c>
      <c r="AP94" s="406">
        <f>IF(AND(NOT(ISBLANK(tblData[[#This Row],[Surname]])),COUNTA(tblData[[#This Row],[Day 1]:[Day 9]])=0),1,0)</f>
        <v>0</v>
      </c>
      <c r="AQ94" s="406">
        <f>IF(AND(NOT(ISBLANK(tblData[[#This Row],[Surname]])),tblData[[#This Row],[Position]]="Athlete"),1,0)</f>
        <v>0</v>
      </c>
      <c r="AR94" s="433">
        <f>EntryFee*tblData[[#This Row],[Entry Fee Billable]]</f>
        <v>0</v>
      </c>
      <c r="AS94" s="410" t="e">
        <f>IF(ISBLANK(SelectedCategory),"No Cat!",IF(ISBLANK($F94),0,IFERROR(VLOOKUP(AS$12&amp;", "&amp;tblData[[#This Row],[Day 1]],tblAccommodationCosts[],5,FALSE),0)+IFERROR(VLOOKUP(AS$12&amp;", "&amp;tblData[[#This Row],[Day 2]],tblAccommodationCosts[],5,FALSE),0)+IFERROR(VLOOKUP(AS$12&amp;", "&amp;tblData[[#This Row],[Day 3]],tblAccommodationCosts[],5,FALSE),0)+IFERROR(VLOOKUP(AS$12&amp;", "&amp;tblData[[#This Row],[Day 4]],tblAccommodationCosts[],5,FALSE),0)+IFERROR(VLOOKUP(AS$12&amp;", "&amp;tblData[[#This Row],[Day 5]],tblAccommodationCosts[],5,FALSE),0)+IFERROR(VLOOKUP(AS$12&amp;", "&amp;tblData[[#This Row],[Day 6]],tblAccommodationCosts[],5,FALSE),0)+IFERROR(VLOOKUP(AS$12&amp;", "&amp;tblData[[#This Row],[Day 7]],tblAccommodationCosts[],5,FALSE),0)+IFERROR(VLOOKUP(AS$12&amp;", "&amp;tblData[[#This Row],[Day 8]],tblAccommodationCosts[],5,FALSE),0)+IFERROR(VLOOKUP(AS$12&amp;", "&amp;tblData[[#This Row],[Day 9]],tblAccommodationCosts[],5,FALSE),0)+AccreditationFee*tblData[[#This Row],[Bill Accred Fee]]))+tblData[[#This Row],[Entry Fee]]</f>
        <v>#VALUE!</v>
      </c>
      <c r="AT94" s="324" t="str">
        <f>IFERROR(VLOOKUP(tblData[[#This Row],[Weight Category, Function, and Gender]],tblWeightOrFunction[],3,0),"")</f>
        <v/>
      </c>
      <c r="AU94" s="84" t="str">
        <f>IFERROR(VLOOKUP(tblData[[#This Row],[Weight Category, Function, and Gender]],tblWeightOrFunction[],4,0),"")</f>
        <v/>
      </c>
      <c r="AV94" s="85" t="str">
        <f>IFERROR(VLOOKUP(tblData[[#This Row],[Weight Category, Function, and Gender]],tblWeightOrFunction[],7,0),"")</f>
        <v/>
      </c>
      <c r="AW94" s="84" t="str">
        <f>IFERROR(VLOOKUP(tblData[[#This Row],[Weight Category, Function, and Gender]],tblWeightOrFunction[],6,0),"")</f>
        <v/>
      </c>
      <c r="AX94" s="84" t="str">
        <f>IFERROR(VLOOKUP(tblData[[#This Row],[Weight Category, Function, and Gender]],tblWeightOrFunction[],2,0),"")</f>
        <v/>
      </c>
      <c r="AY94" s="75">
        <f>tblData[[#This Row],[Arr Date]]+tblData[[#This Row],[Arr Time]]</f>
        <v>0</v>
      </c>
      <c r="AZ94" s="75">
        <f>tblData[[#This Row],[Dep Date]]+tblData[[#This Row],[Dep Time]]</f>
        <v>0</v>
      </c>
      <c r="BA94" s="72">
        <f>COUNTIF(tblData[Surname],"&lt;="&amp;tblData[Surname])</f>
        <v>0</v>
      </c>
      <c r="BB94" s="72">
        <f>COUNTIF(tblData[Given name],"&lt;="&amp;tblData[Given name])</f>
        <v>0</v>
      </c>
      <c r="BC94" s="72">
        <f>COUNTIF(tblData[Arr DateTime],"&lt;="&amp;tblData[Arr DateTime])</f>
        <v>110</v>
      </c>
      <c r="BD94" s="72">
        <f>COUNTIF(tblData[Dep DateTime],"&lt;="&amp;tblData[Dep DateTime])</f>
        <v>110</v>
      </c>
      <c r="BE94" s="72">
        <f>COUNTIF(tblData[ShuttleAtDeparture],"&lt;="&amp;tblData[ShuttleAtDeparture])</f>
        <v>0</v>
      </c>
      <c r="BI94" s="6" t="str">
        <f t="array" ref="BI94">IF(ROWS(tblData[[#Headers],[Id]]:tblData[[#This Row],[Id]])-1&gt;$BI$11,"",INDEX(tblData[Id],SMALL(IF(LEN(TRIM(tblData[Surname]))*((tblData[Type]=$BI$9)+(tblData[Type]=$BI$10)),ROW(tblData[Id])-ROW(tblData[[#Headers],[Id]])),ROWS(tblData[[#Headers],[Id]]:tblData[[#This Row],[Id]])-1)))</f>
        <v/>
      </c>
      <c r="BK94" s="6" t="str">
        <f>IF(ROWS(tblCoachesAndOfficialsSorted[[#Headers],[Id]]:tblCoachesAndOfficialsSorted[[#This Row],[Id]])-1&gt;$BK$11,"",SMALL(tblCoachesAndOfficials[Id],ROWS(tblCoachesAndOfficialsSorted[[#Headers],[Id]]:tblCoachesAndOfficialsSorted[[#This Row],[Id]])-1))</f>
        <v/>
      </c>
      <c r="BM94" s="6" t="str">
        <f t="array" ref="BM94">IF(ROWS(tblData[[#Headers],[Id]]:tblData[[#This Row],[Id]])-1&gt;$BM$11,"",INDEX(tblData[Id],SMALL(IF(LEN(TRIM(tblData[Surname]))*(tblData[Type]=$BM$9),ROW(tblData[Id])-ROW(tblData[[#Headers],[Id]])),ROWS(tblData[[#Headers],[Id]]:tblData[[#This Row],[Id]])-1)))</f>
        <v/>
      </c>
      <c r="BO94" s="6" t="str">
        <f>IF(ROWS(tblWomenSorted[[#Headers],[Id]]:tblWomenSorted[[#This Row],[Id]])-1&gt;$BO$11,"",SMALL(tblWomen[Id],ROWS(tblWomenSorted[[#Headers],[Id]]:tblWomenSorted[[#This Row],[Id]])-1))</f>
        <v/>
      </c>
      <c r="BP94" s="17"/>
      <c r="BQ94" s="6" t="str">
        <f t="array" ref="BQ94">IF(ROWS(tblData[[#Headers],[Id]]:tblData[[#This Row],[Id]])-1&gt;$BQ$11,"",INDEX(tblData[Id],SMALL(IF(LEN(TRIM(tblData[Surname]))*(tblData[Type]=$BQ$9),ROW(tblData[Id])-ROW(tblData[[#Headers],[Id]])),ROWS(tblData[[#Headers],[Id]]:tblData[[#This Row],[Id]])-1)))</f>
        <v/>
      </c>
      <c r="BS94" s="6" t="str">
        <f>IF(ROWS(tblMenSorted[[#Headers],[Id]]:tblMenSorted[[#This Row],[Id]])-1&gt;$BS$11,"",SMALL(tblMen[Id],ROWS(tblMenSorted[[#Headers],[Id]]:tblMenSorted[[#This Row],[Id]])-1))</f>
        <v/>
      </c>
      <c r="BU94" s="6" t="str">
        <f t="array" ref="BU94">IF(ROWS(tblData[[#Headers],[Sorted Name Id]]:tblData[[#This Row],[Sorted Name Id]])-1&gt;$BU$11,"",INDEX(tblData[Sorted Name Id],SMALL(IF(LEN(TRIM(tblData[Surname]))*(tblData[Visa required]="YES"),ROW(tblData[Sorted Name Id])-ROW(tblData[[#Headers],[Sorted Name Id]])),ROWS(tblData[[#Headers],[Sorted Name Id]]:tblData[[#This Row],[Sorted Name Id]])-1)))</f>
        <v/>
      </c>
      <c r="BW94" s="6" t="str">
        <f>IF(ROWS(tblVisasSorted[[#Headers],[Id]]:tblVisasSorted[[#This Row],[Id]])-1&gt;$BW$11,"",SMALL(tblVisas[Id],ROWS(tblVisasSorted[[#Headers],[Id]]:tblVisasSorted[[#This Row],[Id]])-1))</f>
        <v/>
      </c>
      <c r="BY94" s="6" t="str">
        <f t="array" ref="BY94">IF(ROWS(tblData[[#Headers],[Sorted Arr Id]]:tblData[[#This Row],[Sorted Arr Id]])-1&gt;$BY$11,"",INDEX(tblData[Sorted Arr Id],SMALL(IF(LEN(TRIM(tblData[Surname]))*(tblData[Arr DateTime]&gt;0),ROW(tblData[Sorted Arr Id])-ROW(tblData[[#Headers],[Sorted Arr Id]])),ROWS(tblData[[#Headers],[Sorted Arr Id]]:tblData[[#This Row],[Sorted Arr Id]])-1)))</f>
        <v/>
      </c>
      <c r="CA94" s="6" t="str">
        <f>IF(ROWS(tblArrivalSorted[[#Headers],[Id]]:tblArrivalSorted[[#This Row],[Id]])-1&gt;$CA$11,"",SMALL(tblArrival[Id],ROWS(tblArrivalSorted[[#Headers],[Id]]:tblArrivalSorted[[#This Row],[Id]])-1))</f>
        <v/>
      </c>
      <c r="CC94" s="6" t="str">
        <f t="array" ref="CC94">IF(ROWS(tblData[[#Headers],[Sorted Dep Id]]:tblData[[#This Row],[Sorted Dep Id]])-1&gt;$CC$11,"",INDEX(tblData[Sorted Dep Id],SMALL(IF(LEN(TRIM(tblData[Surname]))*(tblData[Dep DateTime]&gt;0),ROW(tblData[Sorted Dep Id])-ROW(tblData[[#Headers],[Sorted Dep Id]])),ROWS(tblData[[#Headers],[Sorted Dep Id]]:tblData[[#This Row],[Sorted Dep Id]])-1)))</f>
        <v/>
      </c>
      <c r="CE94" s="6" t="str">
        <f>IF(ROWS(tblDepartureSorted[[#Headers],[Id]]:tblDepartureSorted[[#This Row],[Id]])-1&gt;$CE$11,"",SMALL(tblDeparture[Id],ROWS(tblDepartureSorted[[#Headers],[Id]]:tblDepartureSorted[[#This Row],[Id]])-1))</f>
        <v/>
      </c>
      <c r="CG94" s="6" t="str">
        <f t="array" ref="CG94">IF(ROWS(tblData[[#Headers],[Id]]:tblData[[#This Row],[Id]])-1&gt;$CG$11,"",INDEX(tblData[Id],SMALL(IF(LEN(TRIM(tblData[Surname])),ROW(tblData[Id])-ROW(tblData[[#Headers],[Id]])),ROWS(tblData[[#Headers],[Id]]:tblData[[#This Row],[Id]])-1)))</f>
        <v/>
      </c>
    </row>
    <row r="95" spans="1:85" s="6" customFormat="1">
      <c r="A95" s="14">
        <f>IF(ISNUMBER(tblData[[#This Row],[SubType2]]),tblData[[#This Row],[SubType2]]*10000+tblData[[#This Row],[No]],1000000+tblData[[#This Row],[No]])</f>
        <v>1000082</v>
      </c>
      <c r="B95" s="14">
        <f>IFERROR(tblData[[#This Row],[Surname Rang]]*1000+tblData[[#This Row],[Given Name Rang]]+tblData[[#This Row],[No]]/1000,"")</f>
        <v>8.2000000000000003E-2</v>
      </c>
      <c r="C95" s="14">
        <f>IFERROR(tblData[[#This Row],[Arr DateTime Rang]]+tblData[[#This Row],[No]]/1000,"")</f>
        <v>110.08199999999999</v>
      </c>
      <c r="D95" s="14">
        <f>IFERROR(tblData[[#This Row],[Dep DateTime Rang]]+tblData[[#This Row],[No]]/1000,"")</f>
        <v>110.08199999999999</v>
      </c>
      <c r="E95" s="362">
        <f t="shared" si="1"/>
        <v>82</v>
      </c>
      <c r="F95" s="370"/>
      <c r="G95" s="331"/>
      <c r="H95" s="328"/>
      <c r="I95" s="329"/>
      <c r="J95" s="330"/>
      <c r="K95" s="369"/>
      <c r="L95" s="375"/>
      <c r="M95" s="331"/>
      <c r="N95" s="331"/>
      <c r="O95" s="331"/>
      <c r="P95" s="329"/>
      <c r="Q95" s="376"/>
      <c r="R95" s="383"/>
      <c r="S95" s="332"/>
      <c r="T95" s="331"/>
      <c r="U95" s="333"/>
      <c r="V95" s="333"/>
      <c r="W95" s="384"/>
      <c r="X95" s="383"/>
      <c r="Y95" s="332"/>
      <c r="Z95" s="331"/>
      <c r="AA95" s="331"/>
      <c r="AB95" s="333"/>
      <c r="AC95" s="384"/>
      <c r="AD95" s="375"/>
      <c r="AE95" s="369"/>
      <c r="AF95" s="397"/>
      <c r="AG95" s="328"/>
      <c r="AH95" s="328"/>
      <c r="AI95" s="328"/>
      <c r="AJ95" s="328"/>
      <c r="AK95" s="328"/>
      <c r="AL95" s="328"/>
      <c r="AM95" s="328"/>
      <c r="AN95" s="398"/>
      <c r="AO95" s="402" t="str">
        <f>IF(ISBLANK(tblData[[#This Row],[Surname]]),"",IF(tblData[[#This Row],[Bill Accred Fee]]=0,"NO","YES"))</f>
        <v/>
      </c>
      <c r="AP95" s="406">
        <f>IF(AND(NOT(ISBLANK(tblData[[#This Row],[Surname]])),COUNTA(tblData[[#This Row],[Day 1]:[Day 9]])=0),1,0)</f>
        <v>0</v>
      </c>
      <c r="AQ95" s="406">
        <f>IF(AND(NOT(ISBLANK(tblData[[#This Row],[Surname]])),tblData[[#This Row],[Position]]="Athlete"),1,0)</f>
        <v>0</v>
      </c>
      <c r="AR95" s="433">
        <f>EntryFee*tblData[[#This Row],[Entry Fee Billable]]</f>
        <v>0</v>
      </c>
      <c r="AS95" s="410" t="e">
        <f>IF(ISBLANK(SelectedCategory),"No Cat!",IF(ISBLANK($F95),0,IFERROR(VLOOKUP(AS$12&amp;", "&amp;tblData[[#This Row],[Day 1]],tblAccommodationCosts[],5,FALSE),0)+IFERROR(VLOOKUP(AS$12&amp;", "&amp;tblData[[#This Row],[Day 2]],tblAccommodationCosts[],5,FALSE),0)+IFERROR(VLOOKUP(AS$12&amp;", "&amp;tblData[[#This Row],[Day 3]],tblAccommodationCosts[],5,FALSE),0)+IFERROR(VLOOKUP(AS$12&amp;", "&amp;tblData[[#This Row],[Day 4]],tblAccommodationCosts[],5,FALSE),0)+IFERROR(VLOOKUP(AS$12&amp;", "&amp;tblData[[#This Row],[Day 5]],tblAccommodationCosts[],5,FALSE),0)+IFERROR(VLOOKUP(AS$12&amp;", "&amp;tblData[[#This Row],[Day 6]],tblAccommodationCosts[],5,FALSE),0)+IFERROR(VLOOKUP(AS$12&amp;", "&amp;tblData[[#This Row],[Day 7]],tblAccommodationCosts[],5,FALSE),0)+IFERROR(VLOOKUP(AS$12&amp;", "&amp;tblData[[#This Row],[Day 8]],tblAccommodationCosts[],5,FALSE),0)+IFERROR(VLOOKUP(AS$12&amp;", "&amp;tblData[[#This Row],[Day 9]],tblAccommodationCosts[],5,FALSE),0)+AccreditationFee*tblData[[#This Row],[Bill Accred Fee]]))+tblData[[#This Row],[Entry Fee]]</f>
        <v>#VALUE!</v>
      </c>
      <c r="AT95" s="324" t="str">
        <f>IFERROR(VLOOKUP(tblData[[#This Row],[Weight Category, Function, and Gender]],tblWeightOrFunction[],3,0),"")</f>
        <v/>
      </c>
      <c r="AU95" s="84" t="str">
        <f>IFERROR(VLOOKUP(tblData[[#This Row],[Weight Category, Function, and Gender]],tblWeightOrFunction[],4,0),"")</f>
        <v/>
      </c>
      <c r="AV95" s="85" t="str">
        <f>IFERROR(VLOOKUP(tblData[[#This Row],[Weight Category, Function, and Gender]],tblWeightOrFunction[],7,0),"")</f>
        <v/>
      </c>
      <c r="AW95" s="84" t="str">
        <f>IFERROR(VLOOKUP(tblData[[#This Row],[Weight Category, Function, and Gender]],tblWeightOrFunction[],6,0),"")</f>
        <v/>
      </c>
      <c r="AX95" s="84" t="str">
        <f>IFERROR(VLOOKUP(tblData[[#This Row],[Weight Category, Function, and Gender]],tblWeightOrFunction[],2,0),"")</f>
        <v/>
      </c>
      <c r="AY95" s="75">
        <f>tblData[[#This Row],[Arr Date]]+tblData[[#This Row],[Arr Time]]</f>
        <v>0</v>
      </c>
      <c r="AZ95" s="75">
        <f>tblData[[#This Row],[Dep Date]]+tblData[[#This Row],[Dep Time]]</f>
        <v>0</v>
      </c>
      <c r="BA95" s="72">
        <f>COUNTIF(tblData[Surname],"&lt;="&amp;tblData[Surname])</f>
        <v>0</v>
      </c>
      <c r="BB95" s="72">
        <f>COUNTIF(tblData[Given name],"&lt;="&amp;tblData[Given name])</f>
        <v>0</v>
      </c>
      <c r="BC95" s="72">
        <f>COUNTIF(tblData[Arr DateTime],"&lt;="&amp;tblData[Arr DateTime])</f>
        <v>110</v>
      </c>
      <c r="BD95" s="72">
        <f>COUNTIF(tblData[Dep DateTime],"&lt;="&amp;tblData[Dep DateTime])</f>
        <v>110</v>
      </c>
      <c r="BE95" s="72">
        <f>COUNTIF(tblData[ShuttleAtDeparture],"&lt;="&amp;tblData[ShuttleAtDeparture])</f>
        <v>0</v>
      </c>
      <c r="BI95" s="6" t="str">
        <f t="array" ref="BI95">IF(ROWS(tblData[[#Headers],[Id]]:tblData[[#This Row],[Id]])-1&gt;$BI$11,"",INDEX(tblData[Id],SMALL(IF(LEN(TRIM(tblData[Surname]))*((tblData[Type]=$BI$9)+(tblData[Type]=$BI$10)),ROW(tblData[Id])-ROW(tblData[[#Headers],[Id]])),ROWS(tblData[[#Headers],[Id]]:tblData[[#This Row],[Id]])-1)))</f>
        <v/>
      </c>
      <c r="BK95" s="6" t="str">
        <f>IF(ROWS(tblCoachesAndOfficialsSorted[[#Headers],[Id]]:tblCoachesAndOfficialsSorted[[#This Row],[Id]])-1&gt;$BK$11,"",SMALL(tblCoachesAndOfficials[Id],ROWS(tblCoachesAndOfficialsSorted[[#Headers],[Id]]:tblCoachesAndOfficialsSorted[[#This Row],[Id]])-1))</f>
        <v/>
      </c>
      <c r="BM95" s="6" t="str">
        <f t="array" ref="BM95">IF(ROWS(tblData[[#Headers],[Id]]:tblData[[#This Row],[Id]])-1&gt;$BM$11,"",INDEX(tblData[Id],SMALL(IF(LEN(TRIM(tblData[Surname]))*(tblData[Type]=$BM$9),ROW(tblData[Id])-ROW(tblData[[#Headers],[Id]])),ROWS(tblData[[#Headers],[Id]]:tblData[[#This Row],[Id]])-1)))</f>
        <v/>
      </c>
      <c r="BO95" s="6" t="str">
        <f>IF(ROWS(tblWomenSorted[[#Headers],[Id]]:tblWomenSorted[[#This Row],[Id]])-1&gt;$BO$11,"",SMALL(tblWomen[Id],ROWS(tblWomenSorted[[#Headers],[Id]]:tblWomenSorted[[#This Row],[Id]])-1))</f>
        <v/>
      </c>
      <c r="BP95" s="17"/>
      <c r="BQ95" s="6" t="str">
        <f t="array" ref="BQ95">IF(ROWS(tblData[[#Headers],[Id]]:tblData[[#This Row],[Id]])-1&gt;$BQ$11,"",INDEX(tblData[Id],SMALL(IF(LEN(TRIM(tblData[Surname]))*(tblData[Type]=$BQ$9),ROW(tblData[Id])-ROW(tblData[[#Headers],[Id]])),ROWS(tblData[[#Headers],[Id]]:tblData[[#This Row],[Id]])-1)))</f>
        <v/>
      </c>
      <c r="BS95" s="6" t="str">
        <f>IF(ROWS(tblMenSorted[[#Headers],[Id]]:tblMenSorted[[#This Row],[Id]])-1&gt;$BS$11,"",SMALL(tblMen[Id],ROWS(tblMenSorted[[#Headers],[Id]]:tblMenSorted[[#This Row],[Id]])-1))</f>
        <v/>
      </c>
      <c r="BU95" s="6" t="str">
        <f t="array" ref="BU95">IF(ROWS(tblData[[#Headers],[Sorted Name Id]]:tblData[[#This Row],[Sorted Name Id]])-1&gt;$BU$11,"",INDEX(tblData[Sorted Name Id],SMALL(IF(LEN(TRIM(tblData[Surname]))*(tblData[Visa required]="YES"),ROW(tblData[Sorted Name Id])-ROW(tblData[[#Headers],[Sorted Name Id]])),ROWS(tblData[[#Headers],[Sorted Name Id]]:tblData[[#This Row],[Sorted Name Id]])-1)))</f>
        <v/>
      </c>
      <c r="BW95" s="6" t="str">
        <f>IF(ROWS(tblVisasSorted[[#Headers],[Id]]:tblVisasSorted[[#This Row],[Id]])-1&gt;$BW$11,"",SMALL(tblVisas[Id],ROWS(tblVisasSorted[[#Headers],[Id]]:tblVisasSorted[[#This Row],[Id]])-1))</f>
        <v/>
      </c>
      <c r="BY95" s="6" t="str">
        <f t="array" ref="BY95">IF(ROWS(tblData[[#Headers],[Sorted Arr Id]]:tblData[[#This Row],[Sorted Arr Id]])-1&gt;$BY$11,"",INDEX(tblData[Sorted Arr Id],SMALL(IF(LEN(TRIM(tblData[Surname]))*(tblData[Arr DateTime]&gt;0),ROW(tblData[Sorted Arr Id])-ROW(tblData[[#Headers],[Sorted Arr Id]])),ROWS(tblData[[#Headers],[Sorted Arr Id]]:tblData[[#This Row],[Sorted Arr Id]])-1)))</f>
        <v/>
      </c>
      <c r="CA95" s="6" t="str">
        <f>IF(ROWS(tblArrivalSorted[[#Headers],[Id]]:tblArrivalSorted[[#This Row],[Id]])-1&gt;$CA$11,"",SMALL(tblArrival[Id],ROWS(tblArrivalSorted[[#Headers],[Id]]:tblArrivalSorted[[#This Row],[Id]])-1))</f>
        <v/>
      </c>
      <c r="CC95" s="6" t="str">
        <f t="array" ref="CC95">IF(ROWS(tblData[[#Headers],[Sorted Dep Id]]:tblData[[#This Row],[Sorted Dep Id]])-1&gt;$CC$11,"",INDEX(tblData[Sorted Dep Id],SMALL(IF(LEN(TRIM(tblData[Surname]))*(tblData[Dep DateTime]&gt;0),ROW(tblData[Sorted Dep Id])-ROW(tblData[[#Headers],[Sorted Dep Id]])),ROWS(tblData[[#Headers],[Sorted Dep Id]]:tblData[[#This Row],[Sorted Dep Id]])-1)))</f>
        <v/>
      </c>
      <c r="CE95" s="6" t="str">
        <f>IF(ROWS(tblDepartureSorted[[#Headers],[Id]]:tblDepartureSorted[[#This Row],[Id]])-1&gt;$CE$11,"",SMALL(tblDeparture[Id],ROWS(tblDepartureSorted[[#Headers],[Id]]:tblDepartureSorted[[#This Row],[Id]])-1))</f>
        <v/>
      </c>
      <c r="CG95" s="6" t="str">
        <f t="array" ref="CG95">IF(ROWS(tblData[[#Headers],[Id]]:tblData[[#This Row],[Id]])-1&gt;$CG$11,"",INDEX(tblData[Id],SMALL(IF(LEN(TRIM(tblData[Surname])),ROW(tblData[Id])-ROW(tblData[[#Headers],[Id]])),ROWS(tblData[[#Headers],[Id]]:tblData[[#This Row],[Id]])-1)))</f>
        <v/>
      </c>
    </row>
    <row r="96" spans="1:85" s="6" customFormat="1">
      <c r="A96" s="14">
        <f>IF(ISNUMBER(tblData[[#This Row],[SubType2]]),tblData[[#This Row],[SubType2]]*10000+tblData[[#This Row],[No]],1000000+tblData[[#This Row],[No]])</f>
        <v>1000083</v>
      </c>
      <c r="B96" s="14">
        <f>IFERROR(tblData[[#This Row],[Surname Rang]]*1000+tblData[[#This Row],[Given Name Rang]]+tblData[[#This Row],[No]]/1000,"")</f>
        <v>8.3000000000000004E-2</v>
      </c>
      <c r="C96" s="14">
        <f>IFERROR(tblData[[#This Row],[Arr DateTime Rang]]+tblData[[#This Row],[No]]/1000,"")</f>
        <v>110.083</v>
      </c>
      <c r="D96" s="14">
        <f>IFERROR(tblData[[#This Row],[Dep DateTime Rang]]+tblData[[#This Row],[No]]/1000,"")</f>
        <v>110.083</v>
      </c>
      <c r="E96" s="362">
        <f t="shared" si="1"/>
        <v>83</v>
      </c>
      <c r="F96" s="370"/>
      <c r="G96" s="331"/>
      <c r="H96" s="328"/>
      <c r="I96" s="329"/>
      <c r="J96" s="330"/>
      <c r="K96" s="369"/>
      <c r="L96" s="375"/>
      <c r="M96" s="331"/>
      <c r="N96" s="331"/>
      <c r="O96" s="331"/>
      <c r="P96" s="329"/>
      <c r="Q96" s="376"/>
      <c r="R96" s="383"/>
      <c r="S96" s="332"/>
      <c r="T96" s="331"/>
      <c r="U96" s="333"/>
      <c r="V96" s="333"/>
      <c r="W96" s="384"/>
      <c r="X96" s="383"/>
      <c r="Y96" s="332"/>
      <c r="Z96" s="331"/>
      <c r="AA96" s="331"/>
      <c r="AB96" s="333"/>
      <c r="AC96" s="384"/>
      <c r="AD96" s="375"/>
      <c r="AE96" s="369"/>
      <c r="AF96" s="397"/>
      <c r="AG96" s="328"/>
      <c r="AH96" s="328"/>
      <c r="AI96" s="328"/>
      <c r="AJ96" s="328"/>
      <c r="AK96" s="328"/>
      <c r="AL96" s="328"/>
      <c r="AM96" s="328"/>
      <c r="AN96" s="398"/>
      <c r="AO96" s="402" t="str">
        <f>IF(ISBLANK(tblData[[#This Row],[Surname]]),"",IF(tblData[[#This Row],[Bill Accred Fee]]=0,"NO","YES"))</f>
        <v/>
      </c>
      <c r="AP96" s="406">
        <f>IF(AND(NOT(ISBLANK(tblData[[#This Row],[Surname]])),COUNTA(tblData[[#This Row],[Day 1]:[Day 9]])=0),1,0)</f>
        <v>0</v>
      </c>
      <c r="AQ96" s="406">
        <f>IF(AND(NOT(ISBLANK(tblData[[#This Row],[Surname]])),tblData[[#This Row],[Position]]="Athlete"),1,0)</f>
        <v>0</v>
      </c>
      <c r="AR96" s="433">
        <f>EntryFee*tblData[[#This Row],[Entry Fee Billable]]</f>
        <v>0</v>
      </c>
      <c r="AS96" s="410" t="e">
        <f>IF(ISBLANK(SelectedCategory),"No Cat!",IF(ISBLANK($F96),0,IFERROR(VLOOKUP(AS$12&amp;", "&amp;tblData[[#This Row],[Day 1]],tblAccommodationCosts[],5,FALSE),0)+IFERROR(VLOOKUP(AS$12&amp;", "&amp;tblData[[#This Row],[Day 2]],tblAccommodationCosts[],5,FALSE),0)+IFERROR(VLOOKUP(AS$12&amp;", "&amp;tblData[[#This Row],[Day 3]],tblAccommodationCosts[],5,FALSE),0)+IFERROR(VLOOKUP(AS$12&amp;", "&amp;tblData[[#This Row],[Day 4]],tblAccommodationCosts[],5,FALSE),0)+IFERROR(VLOOKUP(AS$12&amp;", "&amp;tblData[[#This Row],[Day 5]],tblAccommodationCosts[],5,FALSE),0)+IFERROR(VLOOKUP(AS$12&amp;", "&amp;tblData[[#This Row],[Day 6]],tblAccommodationCosts[],5,FALSE),0)+IFERROR(VLOOKUP(AS$12&amp;", "&amp;tblData[[#This Row],[Day 7]],tblAccommodationCosts[],5,FALSE),0)+IFERROR(VLOOKUP(AS$12&amp;", "&amp;tblData[[#This Row],[Day 8]],tblAccommodationCosts[],5,FALSE),0)+IFERROR(VLOOKUP(AS$12&amp;", "&amp;tblData[[#This Row],[Day 9]],tblAccommodationCosts[],5,FALSE),0)+AccreditationFee*tblData[[#This Row],[Bill Accred Fee]]))+tblData[[#This Row],[Entry Fee]]</f>
        <v>#VALUE!</v>
      </c>
      <c r="AT96" s="324" t="str">
        <f>IFERROR(VLOOKUP(tblData[[#This Row],[Weight Category, Function, and Gender]],tblWeightOrFunction[],3,0),"")</f>
        <v/>
      </c>
      <c r="AU96" s="84" t="str">
        <f>IFERROR(VLOOKUP(tblData[[#This Row],[Weight Category, Function, and Gender]],tblWeightOrFunction[],4,0),"")</f>
        <v/>
      </c>
      <c r="AV96" s="85" t="str">
        <f>IFERROR(VLOOKUP(tblData[[#This Row],[Weight Category, Function, and Gender]],tblWeightOrFunction[],7,0),"")</f>
        <v/>
      </c>
      <c r="AW96" s="84" t="str">
        <f>IFERROR(VLOOKUP(tblData[[#This Row],[Weight Category, Function, and Gender]],tblWeightOrFunction[],6,0),"")</f>
        <v/>
      </c>
      <c r="AX96" s="84" t="str">
        <f>IFERROR(VLOOKUP(tblData[[#This Row],[Weight Category, Function, and Gender]],tblWeightOrFunction[],2,0),"")</f>
        <v/>
      </c>
      <c r="AY96" s="75">
        <f>tblData[[#This Row],[Arr Date]]+tblData[[#This Row],[Arr Time]]</f>
        <v>0</v>
      </c>
      <c r="AZ96" s="75">
        <f>tblData[[#This Row],[Dep Date]]+tblData[[#This Row],[Dep Time]]</f>
        <v>0</v>
      </c>
      <c r="BA96" s="72">
        <f>COUNTIF(tblData[Surname],"&lt;="&amp;tblData[Surname])</f>
        <v>0</v>
      </c>
      <c r="BB96" s="72">
        <f>COUNTIF(tblData[Given name],"&lt;="&amp;tblData[Given name])</f>
        <v>0</v>
      </c>
      <c r="BC96" s="72">
        <f>COUNTIF(tblData[Arr DateTime],"&lt;="&amp;tblData[Arr DateTime])</f>
        <v>110</v>
      </c>
      <c r="BD96" s="72">
        <f>COUNTIF(tblData[Dep DateTime],"&lt;="&amp;tblData[Dep DateTime])</f>
        <v>110</v>
      </c>
      <c r="BE96" s="72">
        <f>COUNTIF(tblData[ShuttleAtDeparture],"&lt;="&amp;tblData[ShuttleAtDeparture])</f>
        <v>0</v>
      </c>
      <c r="BI96" s="6" t="str">
        <f t="array" ref="BI96">IF(ROWS(tblData[[#Headers],[Id]]:tblData[[#This Row],[Id]])-1&gt;$BI$11,"",INDEX(tblData[Id],SMALL(IF(LEN(TRIM(tblData[Surname]))*((tblData[Type]=$BI$9)+(tblData[Type]=$BI$10)),ROW(tblData[Id])-ROW(tblData[[#Headers],[Id]])),ROWS(tblData[[#Headers],[Id]]:tblData[[#This Row],[Id]])-1)))</f>
        <v/>
      </c>
      <c r="BK96" s="6" t="str">
        <f>IF(ROWS(tblCoachesAndOfficialsSorted[[#Headers],[Id]]:tblCoachesAndOfficialsSorted[[#This Row],[Id]])-1&gt;$BK$11,"",SMALL(tblCoachesAndOfficials[Id],ROWS(tblCoachesAndOfficialsSorted[[#Headers],[Id]]:tblCoachesAndOfficialsSorted[[#This Row],[Id]])-1))</f>
        <v/>
      </c>
      <c r="BM96" s="6" t="str">
        <f t="array" ref="BM96">IF(ROWS(tblData[[#Headers],[Id]]:tblData[[#This Row],[Id]])-1&gt;$BM$11,"",INDEX(tblData[Id],SMALL(IF(LEN(TRIM(tblData[Surname]))*(tblData[Type]=$BM$9),ROW(tblData[Id])-ROW(tblData[[#Headers],[Id]])),ROWS(tblData[[#Headers],[Id]]:tblData[[#This Row],[Id]])-1)))</f>
        <v/>
      </c>
      <c r="BO96" s="6" t="str">
        <f>IF(ROWS(tblWomenSorted[[#Headers],[Id]]:tblWomenSorted[[#This Row],[Id]])-1&gt;$BO$11,"",SMALL(tblWomen[Id],ROWS(tblWomenSorted[[#Headers],[Id]]:tblWomenSorted[[#This Row],[Id]])-1))</f>
        <v/>
      </c>
      <c r="BP96" s="17"/>
      <c r="BQ96" s="6" t="str">
        <f t="array" ref="BQ96">IF(ROWS(tblData[[#Headers],[Id]]:tblData[[#This Row],[Id]])-1&gt;$BQ$11,"",INDEX(tblData[Id],SMALL(IF(LEN(TRIM(tblData[Surname]))*(tblData[Type]=$BQ$9),ROW(tblData[Id])-ROW(tblData[[#Headers],[Id]])),ROWS(tblData[[#Headers],[Id]]:tblData[[#This Row],[Id]])-1)))</f>
        <v/>
      </c>
      <c r="BS96" s="6" t="str">
        <f>IF(ROWS(tblMenSorted[[#Headers],[Id]]:tblMenSorted[[#This Row],[Id]])-1&gt;$BS$11,"",SMALL(tblMen[Id],ROWS(tblMenSorted[[#Headers],[Id]]:tblMenSorted[[#This Row],[Id]])-1))</f>
        <v/>
      </c>
      <c r="BU96" s="6" t="str">
        <f t="array" ref="BU96">IF(ROWS(tblData[[#Headers],[Sorted Name Id]]:tblData[[#This Row],[Sorted Name Id]])-1&gt;$BU$11,"",INDEX(tblData[Sorted Name Id],SMALL(IF(LEN(TRIM(tblData[Surname]))*(tblData[Visa required]="YES"),ROW(tblData[Sorted Name Id])-ROW(tblData[[#Headers],[Sorted Name Id]])),ROWS(tblData[[#Headers],[Sorted Name Id]]:tblData[[#This Row],[Sorted Name Id]])-1)))</f>
        <v/>
      </c>
      <c r="BW96" s="6" t="str">
        <f>IF(ROWS(tblVisasSorted[[#Headers],[Id]]:tblVisasSorted[[#This Row],[Id]])-1&gt;$BW$11,"",SMALL(tblVisas[Id],ROWS(tblVisasSorted[[#Headers],[Id]]:tblVisasSorted[[#This Row],[Id]])-1))</f>
        <v/>
      </c>
      <c r="BY96" s="6" t="str">
        <f t="array" ref="BY96">IF(ROWS(tblData[[#Headers],[Sorted Arr Id]]:tblData[[#This Row],[Sorted Arr Id]])-1&gt;$BY$11,"",INDEX(tblData[Sorted Arr Id],SMALL(IF(LEN(TRIM(tblData[Surname]))*(tblData[Arr DateTime]&gt;0),ROW(tblData[Sorted Arr Id])-ROW(tblData[[#Headers],[Sorted Arr Id]])),ROWS(tblData[[#Headers],[Sorted Arr Id]]:tblData[[#This Row],[Sorted Arr Id]])-1)))</f>
        <v/>
      </c>
      <c r="CA96" s="6" t="str">
        <f>IF(ROWS(tblArrivalSorted[[#Headers],[Id]]:tblArrivalSorted[[#This Row],[Id]])-1&gt;$CA$11,"",SMALL(tblArrival[Id],ROWS(tblArrivalSorted[[#Headers],[Id]]:tblArrivalSorted[[#This Row],[Id]])-1))</f>
        <v/>
      </c>
      <c r="CC96" s="6" t="str">
        <f t="array" ref="CC96">IF(ROWS(tblData[[#Headers],[Sorted Dep Id]]:tblData[[#This Row],[Sorted Dep Id]])-1&gt;$CC$11,"",INDEX(tblData[Sorted Dep Id],SMALL(IF(LEN(TRIM(tblData[Surname]))*(tblData[Dep DateTime]&gt;0),ROW(tblData[Sorted Dep Id])-ROW(tblData[[#Headers],[Sorted Dep Id]])),ROWS(tblData[[#Headers],[Sorted Dep Id]]:tblData[[#This Row],[Sorted Dep Id]])-1)))</f>
        <v/>
      </c>
      <c r="CE96" s="6" t="str">
        <f>IF(ROWS(tblDepartureSorted[[#Headers],[Id]]:tblDepartureSorted[[#This Row],[Id]])-1&gt;$CE$11,"",SMALL(tblDeparture[Id],ROWS(tblDepartureSorted[[#Headers],[Id]]:tblDepartureSorted[[#This Row],[Id]])-1))</f>
        <v/>
      </c>
      <c r="CG96" s="6" t="str">
        <f t="array" ref="CG96">IF(ROWS(tblData[[#Headers],[Id]]:tblData[[#This Row],[Id]])-1&gt;$CG$11,"",INDEX(tblData[Id],SMALL(IF(LEN(TRIM(tblData[Surname])),ROW(tblData[Id])-ROW(tblData[[#Headers],[Id]])),ROWS(tblData[[#Headers],[Id]]:tblData[[#This Row],[Id]])-1)))</f>
        <v/>
      </c>
    </row>
    <row r="97" spans="1:85" s="6" customFormat="1">
      <c r="A97" s="14">
        <f>IF(ISNUMBER(tblData[[#This Row],[SubType2]]),tblData[[#This Row],[SubType2]]*10000+tblData[[#This Row],[No]],1000000+tblData[[#This Row],[No]])</f>
        <v>1000084</v>
      </c>
      <c r="B97" s="14">
        <f>IFERROR(tblData[[#This Row],[Surname Rang]]*1000+tblData[[#This Row],[Given Name Rang]]+tblData[[#This Row],[No]]/1000,"")</f>
        <v>8.4000000000000005E-2</v>
      </c>
      <c r="C97" s="14">
        <f>IFERROR(tblData[[#This Row],[Arr DateTime Rang]]+tblData[[#This Row],[No]]/1000,"")</f>
        <v>110.084</v>
      </c>
      <c r="D97" s="14">
        <f>IFERROR(tblData[[#This Row],[Dep DateTime Rang]]+tblData[[#This Row],[No]]/1000,"")</f>
        <v>110.084</v>
      </c>
      <c r="E97" s="362">
        <f t="shared" si="1"/>
        <v>84</v>
      </c>
      <c r="F97" s="370"/>
      <c r="G97" s="331"/>
      <c r="H97" s="328"/>
      <c r="I97" s="329"/>
      <c r="J97" s="330"/>
      <c r="K97" s="369"/>
      <c r="L97" s="375"/>
      <c r="M97" s="331"/>
      <c r="N97" s="331"/>
      <c r="O97" s="331"/>
      <c r="P97" s="329"/>
      <c r="Q97" s="376"/>
      <c r="R97" s="383"/>
      <c r="S97" s="332"/>
      <c r="T97" s="331"/>
      <c r="U97" s="333"/>
      <c r="V97" s="333"/>
      <c r="W97" s="384"/>
      <c r="X97" s="383"/>
      <c r="Y97" s="332"/>
      <c r="Z97" s="331"/>
      <c r="AA97" s="331"/>
      <c r="AB97" s="333"/>
      <c r="AC97" s="384"/>
      <c r="AD97" s="375"/>
      <c r="AE97" s="369"/>
      <c r="AF97" s="397"/>
      <c r="AG97" s="328"/>
      <c r="AH97" s="328"/>
      <c r="AI97" s="328"/>
      <c r="AJ97" s="328"/>
      <c r="AK97" s="328"/>
      <c r="AL97" s="328"/>
      <c r="AM97" s="328"/>
      <c r="AN97" s="398"/>
      <c r="AO97" s="402" t="str">
        <f>IF(ISBLANK(tblData[[#This Row],[Surname]]),"",IF(tblData[[#This Row],[Bill Accred Fee]]=0,"NO","YES"))</f>
        <v/>
      </c>
      <c r="AP97" s="406">
        <f>IF(AND(NOT(ISBLANK(tblData[[#This Row],[Surname]])),COUNTA(tblData[[#This Row],[Day 1]:[Day 9]])=0),1,0)</f>
        <v>0</v>
      </c>
      <c r="AQ97" s="406">
        <f>IF(AND(NOT(ISBLANK(tblData[[#This Row],[Surname]])),tblData[[#This Row],[Position]]="Athlete"),1,0)</f>
        <v>0</v>
      </c>
      <c r="AR97" s="433">
        <f>EntryFee*tblData[[#This Row],[Entry Fee Billable]]</f>
        <v>0</v>
      </c>
      <c r="AS97" s="410" t="e">
        <f>IF(ISBLANK(SelectedCategory),"No Cat!",IF(ISBLANK($F97),0,IFERROR(VLOOKUP(AS$12&amp;", "&amp;tblData[[#This Row],[Day 1]],tblAccommodationCosts[],5,FALSE),0)+IFERROR(VLOOKUP(AS$12&amp;", "&amp;tblData[[#This Row],[Day 2]],tblAccommodationCosts[],5,FALSE),0)+IFERROR(VLOOKUP(AS$12&amp;", "&amp;tblData[[#This Row],[Day 3]],tblAccommodationCosts[],5,FALSE),0)+IFERROR(VLOOKUP(AS$12&amp;", "&amp;tblData[[#This Row],[Day 4]],tblAccommodationCosts[],5,FALSE),0)+IFERROR(VLOOKUP(AS$12&amp;", "&amp;tblData[[#This Row],[Day 5]],tblAccommodationCosts[],5,FALSE),0)+IFERROR(VLOOKUP(AS$12&amp;", "&amp;tblData[[#This Row],[Day 6]],tblAccommodationCosts[],5,FALSE),0)+IFERROR(VLOOKUP(AS$12&amp;", "&amp;tblData[[#This Row],[Day 7]],tblAccommodationCosts[],5,FALSE),0)+IFERROR(VLOOKUP(AS$12&amp;", "&amp;tblData[[#This Row],[Day 8]],tblAccommodationCosts[],5,FALSE),0)+IFERROR(VLOOKUP(AS$12&amp;", "&amp;tblData[[#This Row],[Day 9]],tblAccommodationCosts[],5,FALSE),0)+AccreditationFee*tblData[[#This Row],[Bill Accred Fee]]))+tblData[[#This Row],[Entry Fee]]</f>
        <v>#VALUE!</v>
      </c>
      <c r="AT97" s="324" t="str">
        <f>IFERROR(VLOOKUP(tblData[[#This Row],[Weight Category, Function, and Gender]],tblWeightOrFunction[],3,0),"")</f>
        <v/>
      </c>
      <c r="AU97" s="84" t="str">
        <f>IFERROR(VLOOKUP(tblData[[#This Row],[Weight Category, Function, and Gender]],tblWeightOrFunction[],4,0),"")</f>
        <v/>
      </c>
      <c r="AV97" s="85" t="str">
        <f>IFERROR(VLOOKUP(tblData[[#This Row],[Weight Category, Function, and Gender]],tblWeightOrFunction[],7,0),"")</f>
        <v/>
      </c>
      <c r="AW97" s="84" t="str">
        <f>IFERROR(VLOOKUP(tblData[[#This Row],[Weight Category, Function, and Gender]],tblWeightOrFunction[],6,0),"")</f>
        <v/>
      </c>
      <c r="AX97" s="84" t="str">
        <f>IFERROR(VLOOKUP(tblData[[#This Row],[Weight Category, Function, and Gender]],tblWeightOrFunction[],2,0),"")</f>
        <v/>
      </c>
      <c r="AY97" s="75">
        <f>tblData[[#This Row],[Arr Date]]+tblData[[#This Row],[Arr Time]]</f>
        <v>0</v>
      </c>
      <c r="AZ97" s="75">
        <f>tblData[[#This Row],[Dep Date]]+tblData[[#This Row],[Dep Time]]</f>
        <v>0</v>
      </c>
      <c r="BA97" s="72">
        <f>COUNTIF(tblData[Surname],"&lt;="&amp;tblData[Surname])</f>
        <v>0</v>
      </c>
      <c r="BB97" s="72">
        <f>COUNTIF(tblData[Given name],"&lt;="&amp;tblData[Given name])</f>
        <v>0</v>
      </c>
      <c r="BC97" s="72">
        <f>COUNTIF(tblData[Arr DateTime],"&lt;="&amp;tblData[Arr DateTime])</f>
        <v>110</v>
      </c>
      <c r="BD97" s="72">
        <f>COUNTIF(tblData[Dep DateTime],"&lt;="&amp;tblData[Dep DateTime])</f>
        <v>110</v>
      </c>
      <c r="BE97" s="72">
        <f>COUNTIF(tblData[ShuttleAtDeparture],"&lt;="&amp;tblData[ShuttleAtDeparture])</f>
        <v>0</v>
      </c>
      <c r="BI97" s="6" t="str">
        <f t="array" ref="BI97">IF(ROWS(tblData[[#Headers],[Id]]:tblData[[#This Row],[Id]])-1&gt;$BI$11,"",INDEX(tblData[Id],SMALL(IF(LEN(TRIM(tblData[Surname]))*((tblData[Type]=$BI$9)+(tblData[Type]=$BI$10)),ROW(tblData[Id])-ROW(tblData[[#Headers],[Id]])),ROWS(tblData[[#Headers],[Id]]:tblData[[#This Row],[Id]])-1)))</f>
        <v/>
      </c>
      <c r="BK97" s="6" t="str">
        <f>IF(ROWS(tblCoachesAndOfficialsSorted[[#Headers],[Id]]:tblCoachesAndOfficialsSorted[[#This Row],[Id]])-1&gt;$BK$11,"",SMALL(tblCoachesAndOfficials[Id],ROWS(tblCoachesAndOfficialsSorted[[#Headers],[Id]]:tblCoachesAndOfficialsSorted[[#This Row],[Id]])-1))</f>
        <v/>
      </c>
      <c r="BM97" s="6" t="str">
        <f t="array" ref="BM97">IF(ROWS(tblData[[#Headers],[Id]]:tblData[[#This Row],[Id]])-1&gt;$BM$11,"",INDEX(tblData[Id],SMALL(IF(LEN(TRIM(tblData[Surname]))*(tblData[Type]=$BM$9),ROW(tblData[Id])-ROW(tblData[[#Headers],[Id]])),ROWS(tblData[[#Headers],[Id]]:tblData[[#This Row],[Id]])-1)))</f>
        <v/>
      </c>
      <c r="BO97" s="6" t="str">
        <f>IF(ROWS(tblWomenSorted[[#Headers],[Id]]:tblWomenSorted[[#This Row],[Id]])-1&gt;$BO$11,"",SMALL(tblWomen[Id],ROWS(tblWomenSorted[[#Headers],[Id]]:tblWomenSorted[[#This Row],[Id]])-1))</f>
        <v/>
      </c>
      <c r="BP97" s="17"/>
      <c r="BQ97" s="6" t="str">
        <f t="array" ref="BQ97">IF(ROWS(tblData[[#Headers],[Id]]:tblData[[#This Row],[Id]])-1&gt;$BQ$11,"",INDEX(tblData[Id],SMALL(IF(LEN(TRIM(tblData[Surname]))*(tblData[Type]=$BQ$9),ROW(tblData[Id])-ROW(tblData[[#Headers],[Id]])),ROWS(tblData[[#Headers],[Id]]:tblData[[#This Row],[Id]])-1)))</f>
        <v/>
      </c>
      <c r="BS97" s="6" t="str">
        <f>IF(ROWS(tblMenSorted[[#Headers],[Id]]:tblMenSorted[[#This Row],[Id]])-1&gt;$BS$11,"",SMALL(tblMen[Id],ROWS(tblMenSorted[[#Headers],[Id]]:tblMenSorted[[#This Row],[Id]])-1))</f>
        <v/>
      </c>
      <c r="BU97" s="6" t="str">
        <f t="array" ref="BU97">IF(ROWS(tblData[[#Headers],[Sorted Name Id]]:tblData[[#This Row],[Sorted Name Id]])-1&gt;$BU$11,"",INDEX(tblData[Sorted Name Id],SMALL(IF(LEN(TRIM(tblData[Surname]))*(tblData[Visa required]="YES"),ROW(tblData[Sorted Name Id])-ROW(tblData[[#Headers],[Sorted Name Id]])),ROWS(tblData[[#Headers],[Sorted Name Id]]:tblData[[#This Row],[Sorted Name Id]])-1)))</f>
        <v/>
      </c>
      <c r="BW97" s="6" t="str">
        <f>IF(ROWS(tblVisasSorted[[#Headers],[Id]]:tblVisasSorted[[#This Row],[Id]])-1&gt;$BW$11,"",SMALL(tblVisas[Id],ROWS(tblVisasSorted[[#Headers],[Id]]:tblVisasSorted[[#This Row],[Id]])-1))</f>
        <v/>
      </c>
      <c r="BY97" s="6" t="str">
        <f t="array" ref="BY97">IF(ROWS(tblData[[#Headers],[Sorted Arr Id]]:tblData[[#This Row],[Sorted Arr Id]])-1&gt;$BY$11,"",INDEX(tblData[Sorted Arr Id],SMALL(IF(LEN(TRIM(tblData[Surname]))*(tblData[Arr DateTime]&gt;0),ROW(tblData[Sorted Arr Id])-ROW(tblData[[#Headers],[Sorted Arr Id]])),ROWS(tblData[[#Headers],[Sorted Arr Id]]:tblData[[#This Row],[Sorted Arr Id]])-1)))</f>
        <v/>
      </c>
      <c r="CA97" s="6" t="str">
        <f>IF(ROWS(tblArrivalSorted[[#Headers],[Id]]:tblArrivalSorted[[#This Row],[Id]])-1&gt;$CA$11,"",SMALL(tblArrival[Id],ROWS(tblArrivalSorted[[#Headers],[Id]]:tblArrivalSorted[[#This Row],[Id]])-1))</f>
        <v/>
      </c>
      <c r="CC97" s="6" t="str">
        <f t="array" ref="CC97">IF(ROWS(tblData[[#Headers],[Sorted Dep Id]]:tblData[[#This Row],[Sorted Dep Id]])-1&gt;$CC$11,"",INDEX(tblData[Sorted Dep Id],SMALL(IF(LEN(TRIM(tblData[Surname]))*(tblData[Dep DateTime]&gt;0),ROW(tblData[Sorted Dep Id])-ROW(tblData[[#Headers],[Sorted Dep Id]])),ROWS(tblData[[#Headers],[Sorted Dep Id]]:tblData[[#This Row],[Sorted Dep Id]])-1)))</f>
        <v/>
      </c>
      <c r="CE97" s="6" t="str">
        <f>IF(ROWS(tblDepartureSorted[[#Headers],[Id]]:tblDepartureSorted[[#This Row],[Id]])-1&gt;$CE$11,"",SMALL(tblDeparture[Id],ROWS(tblDepartureSorted[[#Headers],[Id]]:tblDepartureSorted[[#This Row],[Id]])-1))</f>
        <v/>
      </c>
      <c r="CG97" s="6" t="str">
        <f t="array" ref="CG97">IF(ROWS(tblData[[#Headers],[Id]]:tblData[[#This Row],[Id]])-1&gt;$CG$11,"",INDEX(tblData[Id],SMALL(IF(LEN(TRIM(tblData[Surname])),ROW(tblData[Id])-ROW(tblData[[#Headers],[Id]])),ROWS(tblData[[#Headers],[Id]]:tblData[[#This Row],[Id]])-1)))</f>
        <v/>
      </c>
    </row>
    <row r="98" spans="1:85" s="6" customFormat="1">
      <c r="A98" s="14">
        <f>IF(ISNUMBER(tblData[[#This Row],[SubType2]]),tblData[[#This Row],[SubType2]]*10000+tblData[[#This Row],[No]],1000000+tblData[[#This Row],[No]])</f>
        <v>1000085</v>
      </c>
      <c r="B98" s="14">
        <f>IFERROR(tblData[[#This Row],[Surname Rang]]*1000+tblData[[#This Row],[Given Name Rang]]+tblData[[#This Row],[No]]/1000,"")</f>
        <v>8.5000000000000006E-2</v>
      </c>
      <c r="C98" s="14">
        <f>IFERROR(tblData[[#This Row],[Arr DateTime Rang]]+tblData[[#This Row],[No]]/1000,"")</f>
        <v>110.08499999999999</v>
      </c>
      <c r="D98" s="14">
        <f>IFERROR(tblData[[#This Row],[Dep DateTime Rang]]+tblData[[#This Row],[No]]/1000,"")</f>
        <v>110.08499999999999</v>
      </c>
      <c r="E98" s="362">
        <f t="shared" si="1"/>
        <v>85</v>
      </c>
      <c r="F98" s="370"/>
      <c r="G98" s="331"/>
      <c r="H98" s="328"/>
      <c r="I98" s="329"/>
      <c r="J98" s="330"/>
      <c r="K98" s="369"/>
      <c r="L98" s="375"/>
      <c r="M98" s="331"/>
      <c r="N98" s="331"/>
      <c r="O98" s="331"/>
      <c r="P98" s="329"/>
      <c r="Q98" s="376"/>
      <c r="R98" s="383"/>
      <c r="S98" s="332"/>
      <c r="T98" s="331"/>
      <c r="U98" s="333"/>
      <c r="V98" s="333"/>
      <c r="W98" s="384"/>
      <c r="X98" s="383"/>
      <c r="Y98" s="332"/>
      <c r="Z98" s="331"/>
      <c r="AA98" s="331"/>
      <c r="AB98" s="333"/>
      <c r="AC98" s="384"/>
      <c r="AD98" s="375"/>
      <c r="AE98" s="369"/>
      <c r="AF98" s="397"/>
      <c r="AG98" s="328"/>
      <c r="AH98" s="328"/>
      <c r="AI98" s="328"/>
      <c r="AJ98" s="328"/>
      <c r="AK98" s="328"/>
      <c r="AL98" s="328"/>
      <c r="AM98" s="328"/>
      <c r="AN98" s="398"/>
      <c r="AO98" s="402" t="str">
        <f>IF(ISBLANK(tblData[[#This Row],[Surname]]),"",IF(tblData[[#This Row],[Bill Accred Fee]]=0,"NO","YES"))</f>
        <v/>
      </c>
      <c r="AP98" s="406">
        <f>IF(AND(NOT(ISBLANK(tblData[[#This Row],[Surname]])),COUNTA(tblData[[#This Row],[Day 1]:[Day 9]])=0),1,0)</f>
        <v>0</v>
      </c>
      <c r="AQ98" s="406">
        <f>IF(AND(NOT(ISBLANK(tblData[[#This Row],[Surname]])),tblData[[#This Row],[Position]]="Athlete"),1,0)</f>
        <v>0</v>
      </c>
      <c r="AR98" s="433">
        <f>EntryFee*tblData[[#This Row],[Entry Fee Billable]]</f>
        <v>0</v>
      </c>
      <c r="AS98" s="410" t="e">
        <f>IF(ISBLANK(SelectedCategory),"No Cat!",IF(ISBLANK($F98),0,IFERROR(VLOOKUP(AS$12&amp;", "&amp;tblData[[#This Row],[Day 1]],tblAccommodationCosts[],5,FALSE),0)+IFERROR(VLOOKUP(AS$12&amp;", "&amp;tblData[[#This Row],[Day 2]],tblAccommodationCosts[],5,FALSE),0)+IFERROR(VLOOKUP(AS$12&amp;", "&amp;tblData[[#This Row],[Day 3]],tblAccommodationCosts[],5,FALSE),0)+IFERROR(VLOOKUP(AS$12&amp;", "&amp;tblData[[#This Row],[Day 4]],tblAccommodationCosts[],5,FALSE),0)+IFERROR(VLOOKUP(AS$12&amp;", "&amp;tblData[[#This Row],[Day 5]],tblAccommodationCosts[],5,FALSE),0)+IFERROR(VLOOKUP(AS$12&amp;", "&amp;tblData[[#This Row],[Day 6]],tblAccommodationCosts[],5,FALSE),0)+IFERROR(VLOOKUP(AS$12&amp;", "&amp;tblData[[#This Row],[Day 7]],tblAccommodationCosts[],5,FALSE),0)+IFERROR(VLOOKUP(AS$12&amp;", "&amp;tblData[[#This Row],[Day 8]],tblAccommodationCosts[],5,FALSE),0)+IFERROR(VLOOKUP(AS$12&amp;", "&amp;tblData[[#This Row],[Day 9]],tblAccommodationCosts[],5,FALSE),0)+AccreditationFee*tblData[[#This Row],[Bill Accred Fee]]))+tblData[[#This Row],[Entry Fee]]</f>
        <v>#VALUE!</v>
      </c>
      <c r="AT98" s="324" t="str">
        <f>IFERROR(VLOOKUP(tblData[[#This Row],[Weight Category, Function, and Gender]],tblWeightOrFunction[],3,0),"")</f>
        <v/>
      </c>
      <c r="AU98" s="84" t="str">
        <f>IFERROR(VLOOKUP(tblData[[#This Row],[Weight Category, Function, and Gender]],tblWeightOrFunction[],4,0),"")</f>
        <v/>
      </c>
      <c r="AV98" s="85" t="str">
        <f>IFERROR(VLOOKUP(tblData[[#This Row],[Weight Category, Function, and Gender]],tblWeightOrFunction[],7,0),"")</f>
        <v/>
      </c>
      <c r="AW98" s="84" t="str">
        <f>IFERROR(VLOOKUP(tblData[[#This Row],[Weight Category, Function, and Gender]],tblWeightOrFunction[],6,0),"")</f>
        <v/>
      </c>
      <c r="AX98" s="84" t="str">
        <f>IFERROR(VLOOKUP(tblData[[#This Row],[Weight Category, Function, and Gender]],tblWeightOrFunction[],2,0),"")</f>
        <v/>
      </c>
      <c r="AY98" s="75">
        <f>tblData[[#This Row],[Arr Date]]+tblData[[#This Row],[Arr Time]]</f>
        <v>0</v>
      </c>
      <c r="AZ98" s="75">
        <f>tblData[[#This Row],[Dep Date]]+tblData[[#This Row],[Dep Time]]</f>
        <v>0</v>
      </c>
      <c r="BA98" s="72">
        <f>COUNTIF(tblData[Surname],"&lt;="&amp;tblData[Surname])</f>
        <v>0</v>
      </c>
      <c r="BB98" s="72">
        <f>COUNTIF(tblData[Given name],"&lt;="&amp;tblData[Given name])</f>
        <v>0</v>
      </c>
      <c r="BC98" s="72">
        <f>COUNTIF(tblData[Arr DateTime],"&lt;="&amp;tblData[Arr DateTime])</f>
        <v>110</v>
      </c>
      <c r="BD98" s="72">
        <f>COUNTIF(tblData[Dep DateTime],"&lt;="&amp;tblData[Dep DateTime])</f>
        <v>110</v>
      </c>
      <c r="BE98" s="72">
        <f>COUNTIF(tblData[ShuttleAtDeparture],"&lt;="&amp;tblData[ShuttleAtDeparture])</f>
        <v>0</v>
      </c>
      <c r="BI98" s="6" t="str">
        <f t="array" ref="BI98">IF(ROWS(tblData[[#Headers],[Id]]:tblData[[#This Row],[Id]])-1&gt;$BI$11,"",INDEX(tblData[Id],SMALL(IF(LEN(TRIM(tblData[Surname]))*((tblData[Type]=$BI$9)+(tblData[Type]=$BI$10)),ROW(tblData[Id])-ROW(tblData[[#Headers],[Id]])),ROWS(tblData[[#Headers],[Id]]:tblData[[#This Row],[Id]])-1)))</f>
        <v/>
      </c>
      <c r="BK98" s="6" t="str">
        <f>IF(ROWS(tblCoachesAndOfficialsSorted[[#Headers],[Id]]:tblCoachesAndOfficialsSorted[[#This Row],[Id]])-1&gt;$BK$11,"",SMALL(tblCoachesAndOfficials[Id],ROWS(tblCoachesAndOfficialsSorted[[#Headers],[Id]]:tblCoachesAndOfficialsSorted[[#This Row],[Id]])-1))</f>
        <v/>
      </c>
      <c r="BM98" s="6" t="str">
        <f t="array" ref="BM98">IF(ROWS(tblData[[#Headers],[Id]]:tblData[[#This Row],[Id]])-1&gt;$BM$11,"",INDEX(tblData[Id],SMALL(IF(LEN(TRIM(tblData[Surname]))*(tblData[Type]=$BM$9),ROW(tblData[Id])-ROW(tblData[[#Headers],[Id]])),ROWS(tblData[[#Headers],[Id]]:tblData[[#This Row],[Id]])-1)))</f>
        <v/>
      </c>
      <c r="BO98" s="6" t="str">
        <f>IF(ROWS(tblWomenSorted[[#Headers],[Id]]:tblWomenSorted[[#This Row],[Id]])-1&gt;$BO$11,"",SMALL(tblWomen[Id],ROWS(tblWomenSorted[[#Headers],[Id]]:tblWomenSorted[[#This Row],[Id]])-1))</f>
        <v/>
      </c>
      <c r="BP98" s="17"/>
      <c r="BQ98" s="6" t="str">
        <f t="array" ref="BQ98">IF(ROWS(tblData[[#Headers],[Id]]:tblData[[#This Row],[Id]])-1&gt;$BQ$11,"",INDEX(tblData[Id],SMALL(IF(LEN(TRIM(tblData[Surname]))*(tblData[Type]=$BQ$9),ROW(tblData[Id])-ROW(tblData[[#Headers],[Id]])),ROWS(tblData[[#Headers],[Id]]:tblData[[#This Row],[Id]])-1)))</f>
        <v/>
      </c>
      <c r="BS98" s="6" t="str">
        <f>IF(ROWS(tblMenSorted[[#Headers],[Id]]:tblMenSorted[[#This Row],[Id]])-1&gt;$BS$11,"",SMALL(tblMen[Id],ROWS(tblMenSorted[[#Headers],[Id]]:tblMenSorted[[#This Row],[Id]])-1))</f>
        <v/>
      </c>
      <c r="BU98" s="6" t="str">
        <f t="array" ref="BU98">IF(ROWS(tblData[[#Headers],[Sorted Name Id]]:tblData[[#This Row],[Sorted Name Id]])-1&gt;$BU$11,"",INDEX(tblData[Sorted Name Id],SMALL(IF(LEN(TRIM(tblData[Surname]))*(tblData[Visa required]="YES"),ROW(tblData[Sorted Name Id])-ROW(tblData[[#Headers],[Sorted Name Id]])),ROWS(tblData[[#Headers],[Sorted Name Id]]:tblData[[#This Row],[Sorted Name Id]])-1)))</f>
        <v/>
      </c>
      <c r="BW98" s="6" t="str">
        <f>IF(ROWS(tblVisasSorted[[#Headers],[Id]]:tblVisasSorted[[#This Row],[Id]])-1&gt;$BW$11,"",SMALL(tblVisas[Id],ROWS(tblVisasSorted[[#Headers],[Id]]:tblVisasSorted[[#This Row],[Id]])-1))</f>
        <v/>
      </c>
      <c r="BY98" s="6" t="str">
        <f t="array" ref="BY98">IF(ROWS(tblData[[#Headers],[Sorted Arr Id]]:tblData[[#This Row],[Sorted Arr Id]])-1&gt;$BY$11,"",INDEX(tblData[Sorted Arr Id],SMALL(IF(LEN(TRIM(tblData[Surname]))*(tblData[Arr DateTime]&gt;0),ROW(tblData[Sorted Arr Id])-ROW(tblData[[#Headers],[Sorted Arr Id]])),ROWS(tblData[[#Headers],[Sorted Arr Id]]:tblData[[#This Row],[Sorted Arr Id]])-1)))</f>
        <v/>
      </c>
      <c r="CA98" s="6" t="str">
        <f>IF(ROWS(tblArrivalSorted[[#Headers],[Id]]:tblArrivalSorted[[#This Row],[Id]])-1&gt;$CA$11,"",SMALL(tblArrival[Id],ROWS(tblArrivalSorted[[#Headers],[Id]]:tblArrivalSorted[[#This Row],[Id]])-1))</f>
        <v/>
      </c>
      <c r="CC98" s="6" t="str">
        <f t="array" ref="CC98">IF(ROWS(tblData[[#Headers],[Sorted Dep Id]]:tblData[[#This Row],[Sorted Dep Id]])-1&gt;$CC$11,"",INDEX(tblData[Sorted Dep Id],SMALL(IF(LEN(TRIM(tblData[Surname]))*(tblData[Dep DateTime]&gt;0),ROW(tblData[Sorted Dep Id])-ROW(tblData[[#Headers],[Sorted Dep Id]])),ROWS(tblData[[#Headers],[Sorted Dep Id]]:tblData[[#This Row],[Sorted Dep Id]])-1)))</f>
        <v/>
      </c>
      <c r="CE98" s="6" t="str">
        <f>IF(ROWS(tblDepartureSorted[[#Headers],[Id]]:tblDepartureSorted[[#This Row],[Id]])-1&gt;$CE$11,"",SMALL(tblDeparture[Id],ROWS(tblDepartureSorted[[#Headers],[Id]]:tblDepartureSorted[[#This Row],[Id]])-1))</f>
        <v/>
      </c>
      <c r="CG98" s="6" t="str">
        <f t="array" ref="CG98">IF(ROWS(tblData[[#Headers],[Id]]:tblData[[#This Row],[Id]])-1&gt;$CG$11,"",INDEX(tblData[Id],SMALL(IF(LEN(TRIM(tblData[Surname])),ROW(tblData[Id])-ROW(tblData[[#Headers],[Id]])),ROWS(tblData[[#Headers],[Id]]:tblData[[#This Row],[Id]])-1)))</f>
        <v/>
      </c>
    </row>
    <row r="99" spans="1:85" s="6" customFormat="1">
      <c r="A99" s="14">
        <f>IF(ISNUMBER(tblData[[#This Row],[SubType2]]),tblData[[#This Row],[SubType2]]*10000+tblData[[#This Row],[No]],1000000+tblData[[#This Row],[No]])</f>
        <v>1000086</v>
      </c>
      <c r="B99" s="14">
        <f>IFERROR(tblData[[#This Row],[Surname Rang]]*1000+tblData[[#This Row],[Given Name Rang]]+tblData[[#This Row],[No]]/1000,"")</f>
        <v>8.5999999999999993E-2</v>
      </c>
      <c r="C99" s="14">
        <f>IFERROR(tblData[[#This Row],[Arr DateTime Rang]]+tblData[[#This Row],[No]]/1000,"")</f>
        <v>110.086</v>
      </c>
      <c r="D99" s="14">
        <f>IFERROR(tblData[[#This Row],[Dep DateTime Rang]]+tblData[[#This Row],[No]]/1000,"")</f>
        <v>110.086</v>
      </c>
      <c r="E99" s="362">
        <f t="shared" si="1"/>
        <v>86</v>
      </c>
      <c r="F99" s="370"/>
      <c r="G99" s="331"/>
      <c r="H99" s="328"/>
      <c r="I99" s="329"/>
      <c r="J99" s="330"/>
      <c r="K99" s="369"/>
      <c r="L99" s="375"/>
      <c r="M99" s="331"/>
      <c r="N99" s="331"/>
      <c r="O99" s="331"/>
      <c r="P99" s="329"/>
      <c r="Q99" s="376"/>
      <c r="R99" s="383"/>
      <c r="S99" s="332"/>
      <c r="T99" s="331"/>
      <c r="U99" s="333"/>
      <c r="V99" s="333"/>
      <c r="W99" s="384"/>
      <c r="X99" s="383"/>
      <c r="Y99" s="332"/>
      <c r="Z99" s="331"/>
      <c r="AA99" s="331"/>
      <c r="AB99" s="333"/>
      <c r="AC99" s="384"/>
      <c r="AD99" s="375"/>
      <c r="AE99" s="369"/>
      <c r="AF99" s="397"/>
      <c r="AG99" s="328"/>
      <c r="AH99" s="328"/>
      <c r="AI99" s="328"/>
      <c r="AJ99" s="328"/>
      <c r="AK99" s="328"/>
      <c r="AL99" s="328"/>
      <c r="AM99" s="328"/>
      <c r="AN99" s="398"/>
      <c r="AO99" s="402" t="str">
        <f>IF(ISBLANK(tblData[[#This Row],[Surname]]),"",IF(tblData[[#This Row],[Bill Accred Fee]]=0,"NO","YES"))</f>
        <v/>
      </c>
      <c r="AP99" s="406">
        <f>IF(AND(NOT(ISBLANK(tblData[[#This Row],[Surname]])),COUNTA(tblData[[#This Row],[Day 1]:[Day 9]])=0),1,0)</f>
        <v>0</v>
      </c>
      <c r="AQ99" s="406">
        <f>IF(AND(NOT(ISBLANK(tblData[[#This Row],[Surname]])),tblData[[#This Row],[Position]]="Athlete"),1,0)</f>
        <v>0</v>
      </c>
      <c r="AR99" s="433">
        <f>EntryFee*tblData[[#This Row],[Entry Fee Billable]]</f>
        <v>0</v>
      </c>
      <c r="AS99" s="410" t="e">
        <f>IF(ISBLANK(SelectedCategory),"No Cat!",IF(ISBLANK($F99),0,IFERROR(VLOOKUP(AS$12&amp;", "&amp;tblData[[#This Row],[Day 1]],tblAccommodationCosts[],5,FALSE),0)+IFERROR(VLOOKUP(AS$12&amp;", "&amp;tblData[[#This Row],[Day 2]],tblAccommodationCosts[],5,FALSE),0)+IFERROR(VLOOKUP(AS$12&amp;", "&amp;tblData[[#This Row],[Day 3]],tblAccommodationCosts[],5,FALSE),0)+IFERROR(VLOOKUP(AS$12&amp;", "&amp;tblData[[#This Row],[Day 4]],tblAccommodationCosts[],5,FALSE),0)+IFERROR(VLOOKUP(AS$12&amp;", "&amp;tblData[[#This Row],[Day 5]],tblAccommodationCosts[],5,FALSE),0)+IFERROR(VLOOKUP(AS$12&amp;", "&amp;tblData[[#This Row],[Day 6]],tblAccommodationCosts[],5,FALSE),0)+IFERROR(VLOOKUP(AS$12&amp;", "&amp;tblData[[#This Row],[Day 7]],tblAccommodationCosts[],5,FALSE),0)+IFERROR(VLOOKUP(AS$12&amp;", "&amp;tblData[[#This Row],[Day 8]],tblAccommodationCosts[],5,FALSE),0)+IFERROR(VLOOKUP(AS$12&amp;", "&amp;tblData[[#This Row],[Day 9]],tblAccommodationCosts[],5,FALSE),0)+AccreditationFee*tblData[[#This Row],[Bill Accred Fee]]))+tblData[[#This Row],[Entry Fee]]</f>
        <v>#VALUE!</v>
      </c>
      <c r="AT99" s="324" t="str">
        <f>IFERROR(VLOOKUP(tblData[[#This Row],[Weight Category, Function, and Gender]],tblWeightOrFunction[],3,0),"")</f>
        <v/>
      </c>
      <c r="AU99" s="84" t="str">
        <f>IFERROR(VLOOKUP(tblData[[#This Row],[Weight Category, Function, and Gender]],tblWeightOrFunction[],4,0),"")</f>
        <v/>
      </c>
      <c r="AV99" s="85" t="str">
        <f>IFERROR(VLOOKUP(tblData[[#This Row],[Weight Category, Function, and Gender]],tblWeightOrFunction[],7,0),"")</f>
        <v/>
      </c>
      <c r="AW99" s="84" t="str">
        <f>IFERROR(VLOOKUP(tblData[[#This Row],[Weight Category, Function, and Gender]],tblWeightOrFunction[],6,0),"")</f>
        <v/>
      </c>
      <c r="AX99" s="84" t="str">
        <f>IFERROR(VLOOKUP(tblData[[#This Row],[Weight Category, Function, and Gender]],tblWeightOrFunction[],2,0),"")</f>
        <v/>
      </c>
      <c r="AY99" s="75">
        <f>tblData[[#This Row],[Arr Date]]+tblData[[#This Row],[Arr Time]]</f>
        <v>0</v>
      </c>
      <c r="AZ99" s="75">
        <f>tblData[[#This Row],[Dep Date]]+tblData[[#This Row],[Dep Time]]</f>
        <v>0</v>
      </c>
      <c r="BA99" s="72">
        <f>COUNTIF(tblData[Surname],"&lt;="&amp;tblData[Surname])</f>
        <v>0</v>
      </c>
      <c r="BB99" s="72">
        <f>COUNTIF(tblData[Given name],"&lt;="&amp;tblData[Given name])</f>
        <v>0</v>
      </c>
      <c r="BC99" s="72">
        <f>COUNTIF(tblData[Arr DateTime],"&lt;="&amp;tblData[Arr DateTime])</f>
        <v>110</v>
      </c>
      <c r="BD99" s="72">
        <f>COUNTIF(tblData[Dep DateTime],"&lt;="&amp;tblData[Dep DateTime])</f>
        <v>110</v>
      </c>
      <c r="BE99" s="72">
        <f>COUNTIF(tblData[ShuttleAtDeparture],"&lt;="&amp;tblData[ShuttleAtDeparture])</f>
        <v>0</v>
      </c>
      <c r="BI99" s="6" t="str">
        <f t="array" ref="BI99">IF(ROWS(tblData[[#Headers],[Id]]:tblData[[#This Row],[Id]])-1&gt;$BI$11,"",INDEX(tblData[Id],SMALL(IF(LEN(TRIM(tblData[Surname]))*((tblData[Type]=$BI$9)+(tblData[Type]=$BI$10)),ROW(tblData[Id])-ROW(tblData[[#Headers],[Id]])),ROWS(tblData[[#Headers],[Id]]:tblData[[#This Row],[Id]])-1)))</f>
        <v/>
      </c>
      <c r="BK99" s="6" t="str">
        <f>IF(ROWS(tblCoachesAndOfficialsSorted[[#Headers],[Id]]:tblCoachesAndOfficialsSorted[[#This Row],[Id]])-1&gt;$BK$11,"",SMALL(tblCoachesAndOfficials[Id],ROWS(tblCoachesAndOfficialsSorted[[#Headers],[Id]]:tblCoachesAndOfficialsSorted[[#This Row],[Id]])-1))</f>
        <v/>
      </c>
      <c r="BM99" s="6" t="str">
        <f t="array" ref="BM99">IF(ROWS(tblData[[#Headers],[Id]]:tblData[[#This Row],[Id]])-1&gt;$BM$11,"",INDEX(tblData[Id],SMALL(IF(LEN(TRIM(tblData[Surname]))*(tblData[Type]=$BM$9),ROW(tblData[Id])-ROW(tblData[[#Headers],[Id]])),ROWS(tblData[[#Headers],[Id]]:tblData[[#This Row],[Id]])-1)))</f>
        <v/>
      </c>
      <c r="BO99" s="6" t="str">
        <f>IF(ROWS(tblWomenSorted[[#Headers],[Id]]:tblWomenSorted[[#This Row],[Id]])-1&gt;$BO$11,"",SMALL(tblWomen[Id],ROWS(tblWomenSorted[[#Headers],[Id]]:tblWomenSorted[[#This Row],[Id]])-1))</f>
        <v/>
      </c>
      <c r="BP99" s="17"/>
      <c r="BQ99" s="6" t="str">
        <f t="array" ref="BQ99">IF(ROWS(tblData[[#Headers],[Id]]:tblData[[#This Row],[Id]])-1&gt;$BQ$11,"",INDEX(tblData[Id],SMALL(IF(LEN(TRIM(tblData[Surname]))*(tblData[Type]=$BQ$9),ROW(tblData[Id])-ROW(tblData[[#Headers],[Id]])),ROWS(tblData[[#Headers],[Id]]:tblData[[#This Row],[Id]])-1)))</f>
        <v/>
      </c>
      <c r="BS99" s="6" t="str">
        <f>IF(ROWS(tblMenSorted[[#Headers],[Id]]:tblMenSorted[[#This Row],[Id]])-1&gt;$BS$11,"",SMALL(tblMen[Id],ROWS(tblMenSorted[[#Headers],[Id]]:tblMenSorted[[#This Row],[Id]])-1))</f>
        <v/>
      </c>
      <c r="BU99" s="6" t="str">
        <f t="array" ref="BU99">IF(ROWS(tblData[[#Headers],[Sorted Name Id]]:tblData[[#This Row],[Sorted Name Id]])-1&gt;$BU$11,"",INDEX(tblData[Sorted Name Id],SMALL(IF(LEN(TRIM(tblData[Surname]))*(tblData[Visa required]="YES"),ROW(tblData[Sorted Name Id])-ROW(tblData[[#Headers],[Sorted Name Id]])),ROWS(tblData[[#Headers],[Sorted Name Id]]:tblData[[#This Row],[Sorted Name Id]])-1)))</f>
        <v/>
      </c>
      <c r="BW99" s="6" t="str">
        <f>IF(ROWS(tblVisasSorted[[#Headers],[Id]]:tblVisasSorted[[#This Row],[Id]])-1&gt;$BW$11,"",SMALL(tblVisas[Id],ROWS(tblVisasSorted[[#Headers],[Id]]:tblVisasSorted[[#This Row],[Id]])-1))</f>
        <v/>
      </c>
      <c r="BY99" s="6" t="str">
        <f t="array" ref="BY99">IF(ROWS(tblData[[#Headers],[Sorted Arr Id]]:tblData[[#This Row],[Sorted Arr Id]])-1&gt;$BY$11,"",INDEX(tblData[Sorted Arr Id],SMALL(IF(LEN(TRIM(tblData[Surname]))*(tblData[Arr DateTime]&gt;0),ROW(tblData[Sorted Arr Id])-ROW(tblData[[#Headers],[Sorted Arr Id]])),ROWS(tblData[[#Headers],[Sorted Arr Id]]:tblData[[#This Row],[Sorted Arr Id]])-1)))</f>
        <v/>
      </c>
      <c r="CA99" s="6" t="str">
        <f>IF(ROWS(tblArrivalSorted[[#Headers],[Id]]:tblArrivalSorted[[#This Row],[Id]])-1&gt;$CA$11,"",SMALL(tblArrival[Id],ROWS(tblArrivalSorted[[#Headers],[Id]]:tblArrivalSorted[[#This Row],[Id]])-1))</f>
        <v/>
      </c>
      <c r="CC99" s="6" t="str">
        <f t="array" ref="CC99">IF(ROWS(tblData[[#Headers],[Sorted Dep Id]]:tblData[[#This Row],[Sorted Dep Id]])-1&gt;$CC$11,"",INDEX(tblData[Sorted Dep Id],SMALL(IF(LEN(TRIM(tblData[Surname]))*(tblData[Dep DateTime]&gt;0),ROW(tblData[Sorted Dep Id])-ROW(tblData[[#Headers],[Sorted Dep Id]])),ROWS(tblData[[#Headers],[Sorted Dep Id]]:tblData[[#This Row],[Sorted Dep Id]])-1)))</f>
        <v/>
      </c>
      <c r="CE99" s="6" t="str">
        <f>IF(ROWS(tblDepartureSorted[[#Headers],[Id]]:tblDepartureSorted[[#This Row],[Id]])-1&gt;$CE$11,"",SMALL(tblDeparture[Id],ROWS(tblDepartureSorted[[#Headers],[Id]]:tblDepartureSorted[[#This Row],[Id]])-1))</f>
        <v/>
      </c>
      <c r="CG99" s="6" t="str">
        <f t="array" ref="CG99">IF(ROWS(tblData[[#Headers],[Id]]:tblData[[#This Row],[Id]])-1&gt;$CG$11,"",INDEX(tblData[Id],SMALL(IF(LEN(TRIM(tblData[Surname])),ROW(tblData[Id])-ROW(tblData[[#Headers],[Id]])),ROWS(tblData[[#Headers],[Id]]:tblData[[#This Row],[Id]])-1)))</f>
        <v/>
      </c>
    </row>
    <row r="100" spans="1:85" s="6" customFormat="1">
      <c r="A100" s="14">
        <f>IF(ISNUMBER(tblData[[#This Row],[SubType2]]),tblData[[#This Row],[SubType2]]*10000+tblData[[#This Row],[No]],1000000+tblData[[#This Row],[No]])</f>
        <v>1000087</v>
      </c>
      <c r="B100" s="14">
        <f>IFERROR(tblData[[#This Row],[Surname Rang]]*1000+tblData[[#This Row],[Given Name Rang]]+tblData[[#This Row],[No]]/1000,"")</f>
        <v>8.6999999999999994E-2</v>
      </c>
      <c r="C100" s="14">
        <f>IFERROR(tblData[[#This Row],[Arr DateTime Rang]]+tblData[[#This Row],[No]]/1000,"")</f>
        <v>110.087</v>
      </c>
      <c r="D100" s="14">
        <f>IFERROR(tblData[[#This Row],[Dep DateTime Rang]]+tblData[[#This Row],[No]]/1000,"")</f>
        <v>110.087</v>
      </c>
      <c r="E100" s="362">
        <f t="shared" si="1"/>
        <v>87</v>
      </c>
      <c r="F100" s="370"/>
      <c r="G100" s="331"/>
      <c r="H100" s="328"/>
      <c r="I100" s="329"/>
      <c r="J100" s="330"/>
      <c r="K100" s="369"/>
      <c r="L100" s="375"/>
      <c r="M100" s="331"/>
      <c r="N100" s="331"/>
      <c r="O100" s="331"/>
      <c r="P100" s="329"/>
      <c r="Q100" s="376"/>
      <c r="R100" s="383"/>
      <c r="S100" s="332"/>
      <c r="T100" s="331"/>
      <c r="U100" s="333"/>
      <c r="V100" s="333"/>
      <c r="W100" s="384"/>
      <c r="X100" s="383"/>
      <c r="Y100" s="332"/>
      <c r="Z100" s="331"/>
      <c r="AA100" s="331"/>
      <c r="AB100" s="333"/>
      <c r="AC100" s="384"/>
      <c r="AD100" s="375"/>
      <c r="AE100" s="369"/>
      <c r="AF100" s="397"/>
      <c r="AG100" s="328"/>
      <c r="AH100" s="328"/>
      <c r="AI100" s="328"/>
      <c r="AJ100" s="328"/>
      <c r="AK100" s="328"/>
      <c r="AL100" s="328"/>
      <c r="AM100" s="328"/>
      <c r="AN100" s="398"/>
      <c r="AO100" s="402" t="str">
        <f>IF(ISBLANK(tblData[[#This Row],[Surname]]),"",IF(tblData[[#This Row],[Bill Accred Fee]]=0,"NO","YES"))</f>
        <v/>
      </c>
      <c r="AP100" s="406">
        <f>IF(AND(NOT(ISBLANK(tblData[[#This Row],[Surname]])),COUNTA(tblData[[#This Row],[Day 1]:[Day 9]])=0),1,0)</f>
        <v>0</v>
      </c>
      <c r="AQ100" s="406">
        <f>IF(AND(NOT(ISBLANK(tblData[[#This Row],[Surname]])),tblData[[#This Row],[Position]]="Athlete"),1,0)</f>
        <v>0</v>
      </c>
      <c r="AR100" s="433">
        <f>EntryFee*tblData[[#This Row],[Entry Fee Billable]]</f>
        <v>0</v>
      </c>
      <c r="AS100" s="410" t="e">
        <f>IF(ISBLANK(SelectedCategory),"No Cat!",IF(ISBLANK($F100),0,IFERROR(VLOOKUP(AS$12&amp;", "&amp;tblData[[#This Row],[Day 1]],tblAccommodationCosts[],5,FALSE),0)+IFERROR(VLOOKUP(AS$12&amp;", "&amp;tblData[[#This Row],[Day 2]],tblAccommodationCosts[],5,FALSE),0)+IFERROR(VLOOKUP(AS$12&amp;", "&amp;tblData[[#This Row],[Day 3]],tblAccommodationCosts[],5,FALSE),0)+IFERROR(VLOOKUP(AS$12&amp;", "&amp;tblData[[#This Row],[Day 4]],tblAccommodationCosts[],5,FALSE),0)+IFERROR(VLOOKUP(AS$12&amp;", "&amp;tblData[[#This Row],[Day 5]],tblAccommodationCosts[],5,FALSE),0)+IFERROR(VLOOKUP(AS$12&amp;", "&amp;tblData[[#This Row],[Day 6]],tblAccommodationCosts[],5,FALSE),0)+IFERROR(VLOOKUP(AS$12&amp;", "&amp;tblData[[#This Row],[Day 7]],tblAccommodationCosts[],5,FALSE),0)+IFERROR(VLOOKUP(AS$12&amp;", "&amp;tblData[[#This Row],[Day 8]],tblAccommodationCosts[],5,FALSE),0)+IFERROR(VLOOKUP(AS$12&amp;", "&amp;tblData[[#This Row],[Day 9]],tblAccommodationCosts[],5,FALSE),0)+AccreditationFee*tblData[[#This Row],[Bill Accred Fee]]))+tblData[[#This Row],[Entry Fee]]</f>
        <v>#VALUE!</v>
      </c>
      <c r="AT100" s="324" t="str">
        <f>IFERROR(VLOOKUP(tblData[[#This Row],[Weight Category, Function, and Gender]],tblWeightOrFunction[],3,0),"")</f>
        <v/>
      </c>
      <c r="AU100" s="84" t="str">
        <f>IFERROR(VLOOKUP(tblData[[#This Row],[Weight Category, Function, and Gender]],tblWeightOrFunction[],4,0),"")</f>
        <v/>
      </c>
      <c r="AV100" s="85" t="str">
        <f>IFERROR(VLOOKUP(tblData[[#This Row],[Weight Category, Function, and Gender]],tblWeightOrFunction[],7,0),"")</f>
        <v/>
      </c>
      <c r="AW100" s="84" t="str">
        <f>IFERROR(VLOOKUP(tblData[[#This Row],[Weight Category, Function, and Gender]],tblWeightOrFunction[],6,0),"")</f>
        <v/>
      </c>
      <c r="AX100" s="84" t="str">
        <f>IFERROR(VLOOKUP(tblData[[#This Row],[Weight Category, Function, and Gender]],tblWeightOrFunction[],2,0),"")</f>
        <v/>
      </c>
      <c r="AY100" s="75">
        <f>tblData[[#This Row],[Arr Date]]+tblData[[#This Row],[Arr Time]]</f>
        <v>0</v>
      </c>
      <c r="AZ100" s="75">
        <f>tblData[[#This Row],[Dep Date]]+tblData[[#This Row],[Dep Time]]</f>
        <v>0</v>
      </c>
      <c r="BA100" s="72">
        <f>COUNTIF(tblData[Surname],"&lt;="&amp;tblData[Surname])</f>
        <v>0</v>
      </c>
      <c r="BB100" s="72">
        <f>COUNTIF(tblData[Given name],"&lt;="&amp;tblData[Given name])</f>
        <v>0</v>
      </c>
      <c r="BC100" s="72">
        <f>COUNTIF(tblData[Arr DateTime],"&lt;="&amp;tblData[Arr DateTime])</f>
        <v>110</v>
      </c>
      <c r="BD100" s="72">
        <f>COUNTIF(tblData[Dep DateTime],"&lt;="&amp;tblData[Dep DateTime])</f>
        <v>110</v>
      </c>
      <c r="BE100" s="72">
        <f>COUNTIF(tblData[ShuttleAtDeparture],"&lt;="&amp;tblData[ShuttleAtDeparture])</f>
        <v>0</v>
      </c>
      <c r="BI100" s="6" t="str">
        <f t="array" ref="BI100">IF(ROWS(tblData[[#Headers],[Id]]:tblData[[#This Row],[Id]])-1&gt;$BI$11,"",INDEX(tblData[Id],SMALL(IF(LEN(TRIM(tblData[Surname]))*((tblData[Type]=$BI$9)+(tblData[Type]=$BI$10)),ROW(tblData[Id])-ROW(tblData[[#Headers],[Id]])),ROWS(tblData[[#Headers],[Id]]:tblData[[#This Row],[Id]])-1)))</f>
        <v/>
      </c>
      <c r="BK100" s="6" t="str">
        <f>IF(ROWS(tblCoachesAndOfficialsSorted[[#Headers],[Id]]:tblCoachesAndOfficialsSorted[[#This Row],[Id]])-1&gt;$BK$11,"",SMALL(tblCoachesAndOfficials[Id],ROWS(tblCoachesAndOfficialsSorted[[#Headers],[Id]]:tblCoachesAndOfficialsSorted[[#This Row],[Id]])-1))</f>
        <v/>
      </c>
      <c r="BM100" s="6" t="str">
        <f t="array" ref="BM100">IF(ROWS(tblData[[#Headers],[Id]]:tblData[[#This Row],[Id]])-1&gt;$BM$11,"",INDEX(tblData[Id],SMALL(IF(LEN(TRIM(tblData[Surname]))*(tblData[Type]=$BM$9),ROW(tblData[Id])-ROW(tblData[[#Headers],[Id]])),ROWS(tblData[[#Headers],[Id]]:tblData[[#This Row],[Id]])-1)))</f>
        <v/>
      </c>
      <c r="BO100" s="6" t="str">
        <f>IF(ROWS(tblWomenSorted[[#Headers],[Id]]:tblWomenSorted[[#This Row],[Id]])-1&gt;$BO$11,"",SMALL(tblWomen[Id],ROWS(tblWomenSorted[[#Headers],[Id]]:tblWomenSorted[[#This Row],[Id]])-1))</f>
        <v/>
      </c>
      <c r="BP100" s="17"/>
      <c r="BQ100" s="6" t="str">
        <f t="array" ref="BQ100">IF(ROWS(tblData[[#Headers],[Id]]:tblData[[#This Row],[Id]])-1&gt;$BQ$11,"",INDEX(tblData[Id],SMALL(IF(LEN(TRIM(tblData[Surname]))*(tblData[Type]=$BQ$9),ROW(tblData[Id])-ROW(tblData[[#Headers],[Id]])),ROWS(tblData[[#Headers],[Id]]:tblData[[#This Row],[Id]])-1)))</f>
        <v/>
      </c>
      <c r="BS100" s="6" t="str">
        <f>IF(ROWS(tblMenSorted[[#Headers],[Id]]:tblMenSorted[[#This Row],[Id]])-1&gt;$BS$11,"",SMALL(tblMen[Id],ROWS(tblMenSorted[[#Headers],[Id]]:tblMenSorted[[#This Row],[Id]])-1))</f>
        <v/>
      </c>
      <c r="BU100" s="6" t="str">
        <f t="array" ref="BU100">IF(ROWS(tblData[[#Headers],[Sorted Name Id]]:tblData[[#This Row],[Sorted Name Id]])-1&gt;$BU$11,"",INDEX(tblData[Sorted Name Id],SMALL(IF(LEN(TRIM(tblData[Surname]))*(tblData[Visa required]="YES"),ROW(tblData[Sorted Name Id])-ROW(tblData[[#Headers],[Sorted Name Id]])),ROWS(tblData[[#Headers],[Sorted Name Id]]:tblData[[#This Row],[Sorted Name Id]])-1)))</f>
        <v/>
      </c>
      <c r="BW100" s="6" t="str">
        <f>IF(ROWS(tblVisasSorted[[#Headers],[Id]]:tblVisasSorted[[#This Row],[Id]])-1&gt;$BW$11,"",SMALL(tblVisas[Id],ROWS(tblVisasSorted[[#Headers],[Id]]:tblVisasSorted[[#This Row],[Id]])-1))</f>
        <v/>
      </c>
      <c r="BY100" s="6" t="str">
        <f t="array" ref="BY100">IF(ROWS(tblData[[#Headers],[Sorted Arr Id]]:tblData[[#This Row],[Sorted Arr Id]])-1&gt;$BY$11,"",INDEX(tblData[Sorted Arr Id],SMALL(IF(LEN(TRIM(tblData[Surname]))*(tblData[Arr DateTime]&gt;0),ROW(tblData[Sorted Arr Id])-ROW(tblData[[#Headers],[Sorted Arr Id]])),ROWS(tblData[[#Headers],[Sorted Arr Id]]:tblData[[#This Row],[Sorted Arr Id]])-1)))</f>
        <v/>
      </c>
      <c r="CA100" s="6" t="str">
        <f>IF(ROWS(tblArrivalSorted[[#Headers],[Id]]:tblArrivalSorted[[#This Row],[Id]])-1&gt;$CA$11,"",SMALL(tblArrival[Id],ROWS(tblArrivalSorted[[#Headers],[Id]]:tblArrivalSorted[[#This Row],[Id]])-1))</f>
        <v/>
      </c>
      <c r="CC100" s="6" t="str">
        <f t="array" ref="CC100">IF(ROWS(tblData[[#Headers],[Sorted Dep Id]]:tblData[[#This Row],[Sorted Dep Id]])-1&gt;$CC$11,"",INDEX(tblData[Sorted Dep Id],SMALL(IF(LEN(TRIM(tblData[Surname]))*(tblData[Dep DateTime]&gt;0),ROW(tblData[Sorted Dep Id])-ROW(tblData[[#Headers],[Sorted Dep Id]])),ROWS(tblData[[#Headers],[Sorted Dep Id]]:tblData[[#This Row],[Sorted Dep Id]])-1)))</f>
        <v/>
      </c>
      <c r="CE100" s="6" t="str">
        <f>IF(ROWS(tblDepartureSorted[[#Headers],[Id]]:tblDepartureSorted[[#This Row],[Id]])-1&gt;$CE$11,"",SMALL(tblDeparture[Id],ROWS(tblDepartureSorted[[#Headers],[Id]]:tblDepartureSorted[[#This Row],[Id]])-1))</f>
        <v/>
      </c>
      <c r="CG100" s="6" t="str">
        <f t="array" ref="CG100">IF(ROWS(tblData[[#Headers],[Id]]:tblData[[#This Row],[Id]])-1&gt;$CG$11,"",INDEX(tblData[Id],SMALL(IF(LEN(TRIM(tblData[Surname])),ROW(tblData[Id])-ROW(tblData[[#Headers],[Id]])),ROWS(tblData[[#Headers],[Id]]:tblData[[#This Row],[Id]])-1)))</f>
        <v/>
      </c>
    </row>
    <row r="101" spans="1:85" s="6" customFormat="1">
      <c r="A101" s="14">
        <f>IF(ISNUMBER(tblData[[#This Row],[SubType2]]),tblData[[#This Row],[SubType2]]*10000+tblData[[#This Row],[No]],1000000+tblData[[#This Row],[No]])</f>
        <v>1000088</v>
      </c>
      <c r="B101" s="14">
        <f>IFERROR(tblData[[#This Row],[Surname Rang]]*1000+tblData[[#This Row],[Given Name Rang]]+tblData[[#This Row],[No]]/1000,"")</f>
        <v>8.7999999999999995E-2</v>
      </c>
      <c r="C101" s="14">
        <f>IFERROR(tblData[[#This Row],[Arr DateTime Rang]]+tblData[[#This Row],[No]]/1000,"")</f>
        <v>110.08799999999999</v>
      </c>
      <c r="D101" s="14">
        <f>IFERROR(tblData[[#This Row],[Dep DateTime Rang]]+tblData[[#This Row],[No]]/1000,"")</f>
        <v>110.08799999999999</v>
      </c>
      <c r="E101" s="362">
        <f t="shared" si="1"/>
        <v>88</v>
      </c>
      <c r="F101" s="370"/>
      <c r="G101" s="331"/>
      <c r="H101" s="328"/>
      <c r="I101" s="329"/>
      <c r="J101" s="330"/>
      <c r="K101" s="369"/>
      <c r="L101" s="375"/>
      <c r="M101" s="331"/>
      <c r="N101" s="331"/>
      <c r="O101" s="331"/>
      <c r="P101" s="329"/>
      <c r="Q101" s="376"/>
      <c r="R101" s="383"/>
      <c r="S101" s="332"/>
      <c r="T101" s="331"/>
      <c r="U101" s="333"/>
      <c r="V101" s="333"/>
      <c r="W101" s="384"/>
      <c r="X101" s="383"/>
      <c r="Y101" s="332"/>
      <c r="Z101" s="331"/>
      <c r="AA101" s="331"/>
      <c r="AB101" s="333"/>
      <c r="AC101" s="384"/>
      <c r="AD101" s="375"/>
      <c r="AE101" s="369"/>
      <c r="AF101" s="397"/>
      <c r="AG101" s="328"/>
      <c r="AH101" s="328"/>
      <c r="AI101" s="328"/>
      <c r="AJ101" s="328"/>
      <c r="AK101" s="328"/>
      <c r="AL101" s="328"/>
      <c r="AM101" s="328"/>
      <c r="AN101" s="398"/>
      <c r="AO101" s="402" t="str">
        <f>IF(ISBLANK(tblData[[#This Row],[Surname]]),"",IF(tblData[[#This Row],[Bill Accred Fee]]=0,"NO","YES"))</f>
        <v/>
      </c>
      <c r="AP101" s="406">
        <f>IF(AND(NOT(ISBLANK(tblData[[#This Row],[Surname]])),COUNTA(tblData[[#This Row],[Day 1]:[Day 9]])=0),1,0)</f>
        <v>0</v>
      </c>
      <c r="AQ101" s="406">
        <f>IF(AND(NOT(ISBLANK(tblData[[#This Row],[Surname]])),tblData[[#This Row],[Position]]="Athlete"),1,0)</f>
        <v>0</v>
      </c>
      <c r="AR101" s="433">
        <f>EntryFee*tblData[[#This Row],[Entry Fee Billable]]</f>
        <v>0</v>
      </c>
      <c r="AS101" s="410" t="e">
        <f>IF(ISBLANK(SelectedCategory),"No Cat!",IF(ISBLANK($F101),0,IFERROR(VLOOKUP(AS$12&amp;", "&amp;tblData[[#This Row],[Day 1]],tblAccommodationCosts[],5,FALSE),0)+IFERROR(VLOOKUP(AS$12&amp;", "&amp;tblData[[#This Row],[Day 2]],tblAccommodationCosts[],5,FALSE),0)+IFERROR(VLOOKUP(AS$12&amp;", "&amp;tblData[[#This Row],[Day 3]],tblAccommodationCosts[],5,FALSE),0)+IFERROR(VLOOKUP(AS$12&amp;", "&amp;tblData[[#This Row],[Day 4]],tblAccommodationCosts[],5,FALSE),0)+IFERROR(VLOOKUP(AS$12&amp;", "&amp;tblData[[#This Row],[Day 5]],tblAccommodationCosts[],5,FALSE),0)+IFERROR(VLOOKUP(AS$12&amp;", "&amp;tblData[[#This Row],[Day 6]],tblAccommodationCosts[],5,FALSE),0)+IFERROR(VLOOKUP(AS$12&amp;", "&amp;tblData[[#This Row],[Day 7]],tblAccommodationCosts[],5,FALSE),0)+IFERROR(VLOOKUP(AS$12&amp;", "&amp;tblData[[#This Row],[Day 8]],tblAccommodationCosts[],5,FALSE),0)+IFERROR(VLOOKUP(AS$12&amp;", "&amp;tblData[[#This Row],[Day 9]],tblAccommodationCosts[],5,FALSE),0)+AccreditationFee*tblData[[#This Row],[Bill Accred Fee]]))+tblData[[#This Row],[Entry Fee]]</f>
        <v>#VALUE!</v>
      </c>
      <c r="AT101" s="324" t="str">
        <f>IFERROR(VLOOKUP(tblData[[#This Row],[Weight Category, Function, and Gender]],tblWeightOrFunction[],3,0),"")</f>
        <v/>
      </c>
      <c r="AU101" s="84" t="str">
        <f>IFERROR(VLOOKUP(tblData[[#This Row],[Weight Category, Function, and Gender]],tblWeightOrFunction[],4,0),"")</f>
        <v/>
      </c>
      <c r="AV101" s="85" t="str">
        <f>IFERROR(VLOOKUP(tblData[[#This Row],[Weight Category, Function, and Gender]],tblWeightOrFunction[],7,0),"")</f>
        <v/>
      </c>
      <c r="AW101" s="84" t="str">
        <f>IFERROR(VLOOKUP(tblData[[#This Row],[Weight Category, Function, and Gender]],tblWeightOrFunction[],6,0),"")</f>
        <v/>
      </c>
      <c r="AX101" s="84" t="str">
        <f>IFERROR(VLOOKUP(tblData[[#This Row],[Weight Category, Function, and Gender]],tblWeightOrFunction[],2,0),"")</f>
        <v/>
      </c>
      <c r="AY101" s="75">
        <f>tblData[[#This Row],[Arr Date]]+tblData[[#This Row],[Arr Time]]</f>
        <v>0</v>
      </c>
      <c r="AZ101" s="75">
        <f>tblData[[#This Row],[Dep Date]]+tblData[[#This Row],[Dep Time]]</f>
        <v>0</v>
      </c>
      <c r="BA101" s="72">
        <f>COUNTIF(tblData[Surname],"&lt;="&amp;tblData[Surname])</f>
        <v>0</v>
      </c>
      <c r="BB101" s="72">
        <f>COUNTIF(tblData[Given name],"&lt;="&amp;tblData[Given name])</f>
        <v>0</v>
      </c>
      <c r="BC101" s="72">
        <f>COUNTIF(tblData[Arr DateTime],"&lt;="&amp;tblData[Arr DateTime])</f>
        <v>110</v>
      </c>
      <c r="BD101" s="72">
        <f>COUNTIF(tblData[Dep DateTime],"&lt;="&amp;tblData[Dep DateTime])</f>
        <v>110</v>
      </c>
      <c r="BE101" s="72">
        <f>COUNTIF(tblData[ShuttleAtDeparture],"&lt;="&amp;tblData[ShuttleAtDeparture])</f>
        <v>0</v>
      </c>
      <c r="BI101" s="6" t="str">
        <f t="array" ref="BI101">IF(ROWS(tblData[[#Headers],[Id]]:tblData[[#This Row],[Id]])-1&gt;$BI$11,"",INDEX(tblData[Id],SMALL(IF(LEN(TRIM(tblData[Surname]))*((tblData[Type]=$BI$9)+(tblData[Type]=$BI$10)),ROW(tblData[Id])-ROW(tblData[[#Headers],[Id]])),ROWS(tblData[[#Headers],[Id]]:tblData[[#This Row],[Id]])-1)))</f>
        <v/>
      </c>
      <c r="BK101" s="6" t="str">
        <f>IF(ROWS(tblCoachesAndOfficialsSorted[[#Headers],[Id]]:tblCoachesAndOfficialsSorted[[#This Row],[Id]])-1&gt;$BK$11,"",SMALL(tblCoachesAndOfficials[Id],ROWS(tblCoachesAndOfficialsSorted[[#Headers],[Id]]:tblCoachesAndOfficialsSorted[[#This Row],[Id]])-1))</f>
        <v/>
      </c>
      <c r="BM101" s="6" t="str">
        <f t="array" ref="BM101">IF(ROWS(tblData[[#Headers],[Id]]:tblData[[#This Row],[Id]])-1&gt;$BM$11,"",INDEX(tblData[Id],SMALL(IF(LEN(TRIM(tblData[Surname]))*(tblData[Type]=$BM$9),ROW(tblData[Id])-ROW(tblData[[#Headers],[Id]])),ROWS(tblData[[#Headers],[Id]]:tblData[[#This Row],[Id]])-1)))</f>
        <v/>
      </c>
      <c r="BO101" s="6" t="str">
        <f>IF(ROWS(tblWomenSorted[[#Headers],[Id]]:tblWomenSorted[[#This Row],[Id]])-1&gt;$BO$11,"",SMALL(tblWomen[Id],ROWS(tblWomenSorted[[#Headers],[Id]]:tblWomenSorted[[#This Row],[Id]])-1))</f>
        <v/>
      </c>
      <c r="BP101" s="17"/>
      <c r="BQ101" s="6" t="str">
        <f t="array" ref="BQ101">IF(ROWS(tblData[[#Headers],[Id]]:tblData[[#This Row],[Id]])-1&gt;$BQ$11,"",INDEX(tblData[Id],SMALL(IF(LEN(TRIM(tblData[Surname]))*(tblData[Type]=$BQ$9),ROW(tblData[Id])-ROW(tblData[[#Headers],[Id]])),ROWS(tblData[[#Headers],[Id]]:tblData[[#This Row],[Id]])-1)))</f>
        <v/>
      </c>
      <c r="BS101" s="6" t="str">
        <f>IF(ROWS(tblMenSorted[[#Headers],[Id]]:tblMenSorted[[#This Row],[Id]])-1&gt;$BS$11,"",SMALL(tblMen[Id],ROWS(tblMenSorted[[#Headers],[Id]]:tblMenSorted[[#This Row],[Id]])-1))</f>
        <v/>
      </c>
      <c r="BU101" s="6" t="str">
        <f t="array" ref="BU101">IF(ROWS(tblData[[#Headers],[Sorted Name Id]]:tblData[[#This Row],[Sorted Name Id]])-1&gt;$BU$11,"",INDEX(tblData[Sorted Name Id],SMALL(IF(LEN(TRIM(tblData[Surname]))*(tblData[Visa required]="YES"),ROW(tblData[Sorted Name Id])-ROW(tblData[[#Headers],[Sorted Name Id]])),ROWS(tblData[[#Headers],[Sorted Name Id]]:tblData[[#This Row],[Sorted Name Id]])-1)))</f>
        <v/>
      </c>
      <c r="BW101" s="6" t="str">
        <f>IF(ROWS(tblVisasSorted[[#Headers],[Id]]:tblVisasSorted[[#This Row],[Id]])-1&gt;$BW$11,"",SMALL(tblVisas[Id],ROWS(tblVisasSorted[[#Headers],[Id]]:tblVisasSorted[[#This Row],[Id]])-1))</f>
        <v/>
      </c>
      <c r="BY101" s="6" t="str">
        <f t="array" ref="BY101">IF(ROWS(tblData[[#Headers],[Sorted Arr Id]]:tblData[[#This Row],[Sorted Arr Id]])-1&gt;$BY$11,"",INDEX(tblData[Sorted Arr Id],SMALL(IF(LEN(TRIM(tblData[Surname]))*(tblData[Arr DateTime]&gt;0),ROW(tblData[Sorted Arr Id])-ROW(tblData[[#Headers],[Sorted Arr Id]])),ROWS(tblData[[#Headers],[Sorted Arr Id]]:tblData[[#This Row],[Sorted Arr Id]])-1)))</f>
        <v/>
      </c>
      <c r="CA101" s="6" t="str">
        <f>IF(ROWS(tblArrivalSorted[[#Headers],[Id]]:tblArrivalSorted[[#This Row],[Id]])-1&gt;$CA$11,"",SMALL(tblArrival[Id],ROWS(tblArrivalSorted[[#Headers],[Id]]:tblArrivalSorted[[#This Row],[Id]])-1))</f>
        <v/>
      </c>
      <c r="CC101" s="6" t="str">
        <f t="array" ref="CC101">IF(ROWS(tblData[[#Headers],[Sorted Dep Id]]:tblData[[#This Row],[Sorted Dep Id]])-1&gt;$CC$11,"",INDEX(tblData[Sorted Dep Id],SMALL(IF(LEN(TRIM(tblData[Surname]))*(tblData[Dep DateTime]&gt;0),ROW(tblData[Sorted Dep Id])-ROW(tblData[[#Headers],[Sorted Dep Id]])),ROWS(tblData[[#Headers],[Sorted Dep Id]]:tblData[[#This Row],[Sorted Dep Id]])-1)))</f>
        <v/>
      </c>
      <c r="CE101" s="6" t="str">
        <f>IF(ROWS(tblDepartureSorted[[#Headers],[Id]]:tblDepartureSorted[[#This Row],[Id]])-1&gt;$CE$11,"",SMALL(tblDeparture[Id],ROWS(tblDepartureSorted[[#Headers],[Id]]:tblDepartureSorted[[#This Row],[Id]])-1))</f>
        <v/>
      </c>
      <c r="CG101" s="6" t="str">
        <f t="array" ref="CG101">IF(ROWS(tblData[[#Headers],[Id]]:tblData[[#This Row],[Id]])-1&gt;$CG$11,"",INDEX(tblData[Id],SMALL(IF(LEN(TRIM(tblData[Surname])),ROW(tblData[Id])-ROW(tblData[[#Headers],[Id]])),ROWS(tblData[[#Headers],[Id]]:tblData[[#This Row],[Id]])-1)))</f>
        <v/>
      </c>
    </row>
    <row r="102" spans="1:85" s="6" customFormat="1">
      <c r="A102" s="14">
        <f>IF(ISNUMBER(tblData[[#This Row],[SubType2]]),tblData[[#This Row],[SubType2]]*10000+tblData[[#This Row],[No]],1000000+tblData[[#This Row],[No]])</f>
        <v>1000089</v>
      </c>
      <c r="B102" s="14">
        <f>IFERROR(tblData[[#This Row],[Surname Rang]]*1000+tblData[[#This Row],[Given Name Rang]]+tblData[[#This Row],[No]]/1000,"")</f>
        <v>8.8999999999999996E-2</v>
      </c>
      <c r="C102" s="14">
        <f>IFERROR(tblData[[#This Row],[Arr DateTime Rang]]+tblData[[#This Row],[No]]/1000,"")</f>
        <v>110.089</v>
      </c>
      <c r="D102" s="14">
        <f>IFERROR(tblData[[#This Row],[Dep DateTime Rang]]+tblData[[#This Row],[No]]/1000,"")</f>
        <v>110.089</v>
      </c>
      <c r="E102" s="362">
        <f t="shared" si="1"/>
        <v>89</v>
      </c>
      <c r="F102" s="370"/>
      <c r="G102" s="331"/>
      <c r="H102" s="328"/>
      <c r="I102" s="329"/>
      <c r="J102" s="330"/>
      <c r="K102" s="369"/>
      <c r="L102" s="375"/>
      <c r="M102" s="331"/>
      <c r="N102" s="331"/>
      <c r="O102" s="331"/>
      <c r="P102" s="329"/>
      <c r="Q102" s="376"/>
      <c r="R102" s="383"/>
      <c r="S102" s="332"/>
      <c r="T102" s="331"/>
      <c r="U102" s="333"/>
      <c r="V102" s="333"/>
      <c r="W102" s="384"/>
      <c r="X102" s="383"/>
      <c r="Y102" s="332"/>
      <c r="Z102" s="331"/>
      <c r="AA102" s="331"/>
      <c r="AB102" s="333"/>
      <c r="AC102" s="384"/>
      <c r="AD102" s="375"/>
      <c r="AE102" s="369"/>
      <c r="AF102" s="397"/>
      <c r="AG102" s="328"/>
      <c r="AH102" s="328"/>
      <c r="AI102" s="328"/>
      <c r="AJ102" s="328"/>
      <c r="AK102" s="328"/>
      <c r="AL102" s="328"/>
      <c r="AM102" s="328"/>
      <c r="AN102" s="398"/>
      <c r="AO102" s="402" t="str">
        <f>IF(ISBLANK(tblData[[#This Row],[Surname]]),"",IF(tblData[[#This Row],[Bill Accred Fee]]=0,"NO","YES"))</f>
        <v/>
      </c>
      <c r="AP102" s="406">
        <f>IF(AND(NOT(ISBLANK(tblData[[#This Row],[Surname]])),COUNTA(tblData[[#This Row],[Day 1]:[Day 9]])=0),1,0)</f>
        <v>0</v>
      </c>
      <c r="AQ102" s="406">
        <f>IF(AND(NOT(ISBLANK(tblData[[#This Row],[Surname]])),tblData[[#This Row],[Position]]="Athlete"),1,0)</f>
        <v>0</v>
      </c>
      <c r="AR102" s="433">
        <f>EntryFee*tblData[[#This Row],[Entry Fee Billable]]</f>
        <v>0</v>
      </c>
      <c r="AS102" s="410" t="e">
        <f>IF(ISBLANK(SelectedCategory),"No Cat!",IF(ISBLANK($F102),0,IFERROR(VLOOKUP(AS$12&amp;", "&amp;tblData[[#This Row],[Day 1]],tblAccommodationCosts[],5,FALSE),0)+IFERROR(VLOOKUP(AS$12&amp;", "&amp;tblData[[#This Row],[Day 2]],tblAccommodationCosts[],5,FALSE),0)+IFERROR(VLOOKUP(AS$12&amp;", "&amp;tblData[[#This Row],[Day 3]],tblAccommodationCosts[],5,FALSE),0)+IFERROR(VLOOKUP(AS$12&amp;", "&amp;tblData[[#This Row],[Day 4]],tblAccommodationCosts[],5,FALSE),0)+IFERROR(VLOOKUP(AS$12&amp;", "&amp;tblData[[#This Row],[Day 5]],tblAccommodationCosts[],5,FALSE),0)+IFERROR(VLOOKUP(AS$12&amp;", "&amp;tblData[[#This Row],[Day 6]],tblAccommodationCosts[],5,FALSE),0)+IFERROR(VLOOKUP(AS$12&amp;", "&amp;tblData[[#This Row],[Day 7]],tblAccommodationCosts[],5,FALSE),0)+IFERROR(VLOOKUP(AS$12&amp;", "&amp;tblData[[#This Row],[Day 8]],tblAccommodationCosts[],5,FALSE),0)+IFERROR(VLOOKUP(AS$12&amp;", "&amp;tblData[[#This Row],[Day 9]],tblAccommodationCosts[],5,FALSE),0)+AccreditationFee*tblData[[#This Row],[Bill Accred Fee]]))+tblData[[#This Row],[Entry Fee]]</f>
        <v>#VALUE!</v>
      </c>
      <c r="AT102" s="324" t="str">
        <f>IFERROR(VLOOKUP(tblData[[#This Row],[Weight Category, Function, and Gender]],tblWeightOrFunction[],3,0),"")</f>
        <v/>
      </c>
      <c r="AU102" s="84" t="str">
        <f>IFERROR(VLOOKUP(tblData[[#This Row],[Weight Category, Function, and Gender]],tblWeightOrFunction[],4,0),"")</f>
        <v/>
      </c>
      <c r="AV102" s="85" t="str">
        <f>IFERROR(VLOOKUP(tblData[[#This Row],[Weight Category, Function, and Gender]],tblWeightOrFunction[],7,0),"")</f>
        <v/>
      </c>
      <c r="AW102" s="84" t="str">
        <f>IFERROR(VLOOKUP(tblData[[#This Row],[Weight Category, Function, and Gender]],tblWeightOrFunction[],6,0),"")</f>
        <v/>
      </c>
      <c r="AX102" s="84" t="str">
        <f>IFERROR(VLOOKUP(tblData[[#This Row],[Weight Category, Function, and Gender]],tblWeightOrFunction[],2,0),"")</f>
        <v/>
      </c>
      <c r="AY102" s="75">
        <f>tblData[[#This Row],[Arr Date]]+tblData[[#This Row],[Arr Time]]</f>
        <v>0</v>
      </c>
      <c r="AZ102" s="75">
        <f>tblData[[#This Row],[Dep Date]]+tblData[[#This Row],[Dep Time]]</f>
        <v>0</v>
      </c>
      <c r="BA102" s="72">
        <f>COUNTIF(tblData[Surname],"&lt;="&amp;tblData[Surname])</f>
        <v>0</v>
      </c>
      <c r="BB102" s="72">
        <f>COUNTIF(tblData[Given name],"&lt;="&amp;tblData[Given name])</f>
        <v>0</v>
      </c>
      <c r="BC102" s="72">
        <f>COUNTIF(tblData[Arr DateTime],"&lt;="&amp;tblData[Arr DateTime])</f>
        <v>110</v>
      </c>
      <c r="BD102" s="72">
        <f>COUNTIF(tblData[Dep DateTime],"&lt;="&amp;tblData[Dep DateTime])</f>
        <v>110</v>
      </c>
      <c r="BE102" s="72">
        <f>COUNTIF(tblData[ShuttleAtDeparture],"&lt;="&amp;tblData[ShuttleAtDeparture])</f>
        <v>0</v>
      </c>
      <c r="BI102" s="6" t="str">
        <f t="array" ref="BI102">IF(ROWS(tblData[[#Headers],[Id]]:tblData[[#This Row],[Id]])-1&gt;$BI$11,"",INDEX(tblData[Id],SMALL(IF(LEN(TRIM(tblData[Surname]))*((tblData[Type]=$BI$9)+(tblData[Type]=$BI$10)),ROW(tblData[Id])-ROW(tblData[[#Headers],[Id]])),ROWS(tblData[[#Headers],[Id]]:tblData[[#This Row],[Id]])-1)))</f>
        <v/>
      </c>
      <c r="BK102" s="6" t="str">
        <f>IF(ROWS(tblCoachesAndOfficialsSorted[[#Headers],[Id]]:tblCoachesAndOfficialsSorted[[#This Row],[Id]])-1&gt;$BK$11,"",SMALL(tblCoachesAndOfficials[Id],ROWS(tblCoachesAndOfficialsSorted[[#Headers],[Id]]:tblCoachesAndOfficialsSorted[[#This Row],[Id]])-1))</f>
        <v/>
      </c>
      <c r="BM102" s="6" t="str">
        <f t="array" ref="BM102">IF(ROWS(tblData[[#Headers],[Id]]:tblData[[#This Row],[Id]])-1&gt;$BM$11,"",INDEX(tblData[Id],SMALL(IF(LEN(TRIM(tblData[Surname]))*(tblData[Type]=$BM$9),ROW(tblData[Id])-ROW(tblData[[#Headers],[Id]])),ROWS(tblData[[#Headers],[Id]]:tblData[[#This Row],[Id]])-1)))</f>
        <v/>
      </c>
      <c r="BO102" s="6" t="str">
        <f>IF(ROWS(tblWomenSorted[[#Headers],[Id]]:tblWomenSorted[[#This Row],[Id]])-1&gt;$BO$11,"",SMALL(tblWomen[Id],ROWS(tblWomenSorted[[#Headers],[Id]]:tblWomenSorted[[#This Row],[Id]])-1))</f>
        <v/>
      </c>
      <c r="BP102" s="17"/>
      <c r="BQ102" s="6" t="str">
        <f t="array" ref="BQ102">IF(ROWS(tblData[[#Headers],[Id]]:tblData[[#This Row],[Id]])-1&gt;$BQ$11,"",INDEX(tblData[Id],SMALL(IF(LEN(TRIM(tblData[Surname]))*(tblData[Type]=$BQ$9),ROW(tblData[Id])-ROW(tblData[[#Headers],[Id]])),ROWS(tblData[[#Headers],[Id]]:tblData[[#This Row],[Id]])-1)))</f>
        <v/>
      </c>
      <c r="BS102" s="6" t="str">
        <f>IF(ROWS(tblMenSorted[[#Headers],[Id]]:tblMenSorted[[#This Row],[Id]])-1&gt;$BS$11,"",SMALL(tblMen[Id],ROWS(tblMenSorted[[#Headers],[Id]]:tblMenSorted[[#This Row],[Id]])-1))</f>
        <v/>
      </c>
      <c r="BU102" s="6" t="str">
        <f t="array" ref="BU102">IF(ROWS(tblData[[#Headers],[Sorted Name Id]]:tblData[[#This Row],[Sorted Name Id]])-1&gt;$BU$11,"",INDEX(tblData[Sorted Name Id],SMALL(IF(LEN(TRIM(tblData[Surname]))*(tblData[Visa required]="YES"),ROW(tblData[Sorted Name Id])-ROW(tblData[[#Headers],[Sorted Name Id]])),ROWS(tblData[[#Headers],[Sorted Name Id]]:tblData[[#This Row],[Sorted Name Id]])-1)))</f>
        <v/>
      </c>
      <c r="BW102" s="6" t="str">
        <f>IF(ROWS(tblVisasSorted[[#Headers],[Id]]:tblVisasSorted[[#This Row],[Id]])-1&gt;$BW$11,"",SMALL(tblVisas[Id],ROWS(tblVisasSorted[[#Headers],[Id]]:tblVisasSorted[[#This Row],[Id]])-1))</f>
        <v/>
      </c>
      <c r="BY102" s="6" t="str">
        <f t="array" ref="BY102">IF(ROWS(tblData[[#Headers],[Sorted Arr Id]]:tblData[[#This Row],[Sorted Arr Id]])-1&gt;$BY$11,"",INDEX(tblData[Sorted Arr Id],SMALL(IF(LEN(TRIM(tblData[Surname]))*(tblData[Arr DateTime]&gt;0),ROW(tblData[Sorted Arr Id])-ROW(tblData[[#Headers],[Sorted Arr Id]])),ROWS(tblData[[#Headers],[Sorted Arr Id]]:tblData[[#This Row],[Sorted Arr Id]])-1)))</f>
        <v/>
      </c>
      <c r="CA102" s="6" t="str">
        <f>IF(ROWS(tblArrivalSorted[[#Headers],[Id]]:tblArrivalSorted[[#This Row],[Id]])-1&gt;$CA$11,"",SMALL(tblArrival[Id],ROWS(tblArrivalSorted[[#Headers],[Id]]:tblArrivalSorted[[#This Row],[Id]])-1))</f>
        <v/>
      </c>
      <c r="CC102" s="6" t="str">
        <f t="array" ref="CC102">IF(ROWS(tblData[[#Headers],[Sorted Dep Id]]:tblData[[#This Row],[Sorted Dep Id]])-1&gt;$CC$11,"",INDEX(tblData[Sorted Dep Id],SMALL(IF(LEN(TRIM(tblData[Surname]))*(tblData[Dep DateTime]&gt;0),ROW(tblData[Sorted Dep Id])-ROW(tblData[[#Headers],[Sorted Dep Id]])),ROWS(tblData[[#Headers],[Sorted Dep Id]]:tblData[[#This Row],[Sorted Dep Id]])-1)))</f>
        <v/>
      </c>
      <c r="CE102" s="6" t="str">
        <f>IF(ROWS(tblDepartureSorted[[#Headers],[Id]]:tblDepartureSorted[[#This Row],[Id]])-1&gt;$CE$11,"",SMALL(tblDeparture[Id],ROWS(tblDepartureSorted[[#Headers],[Id]]:tblDepartureSorted[[#This Row],[Id]])-1))</f>
        <v/>
      </c>
      <c r="CG102" s="6" t="str">
        <f t="array" ref="CG102">IF(ROWS(tblData[[#Headers],[Id]]:tblData[[#This Row],[Id]])-1&gt;$CG$11,"",INDEX(tblData[Id],SMALL(IF(LEN(TRIM(tblData[Surname])),ROW(tblData[Id])-ROW(tblData[[#Headers],[Id]])),ROWS(tblData[[#Headers],[Id]]:tblData[[#This Row],[Id]])-1)))</f>
        <v/>
      </c>
    </row>
    <row r="103" spans="1:85" s="6" customFormat="1">
      <c r="A103" s="14">
        <f>IF(ISNUMBER(tblData[[#This Row],[SubType2]]),tblData[[#This Row],[SubType2]]*10000+tblData[[#This Row],[No]],1000000+tblData[[#This Row],[No]])</f>
        <v>1000090</v>
      </c>
      <c r="B103" s="14">
        <f>IFERROR(tblData[[#This Row],[Surname Rang]]*1000+tblData[[#This Row],[Given Name Rang]]+tblData[[#This Row],[No]]/1000,"")</f>
        <v>0.09</v>
      </c>
      <c r="C103" s="14">
        <f>IFERROR(tblData[[#This Row],[Arr DateTime Rang]]+tblData[[#This Row],[No]]/1000,"")</f>
        <v>110.09</v>
      </c>
      <c r="D103" s="14">
        <f>IFERROR(tblData[[#This Row],[Dep DateTime Rang]]+tblData[[#This Row],[No]]/1000,"")</f>
        <v>110.09</v>
      </c>
      <c r="E103" s="362">
        <f t="shared" si="1"/>
        <v>90</v>
      </c>
      <c r="F103" s="370"/>
      <c r="G103" s="331"/>
      <c r="H103" s="328"/>
      <c r="I103" s="329"/>
      <c r="J103" s="330"/>
      <c r="K103" s="369"/>
      <c r="L103" s="375"/>
      <c r="M103" s="331"/>
      <c r="N103" s="331"/>
      <c r="O103" s="331"/>
      <c r="P103" s="329"/>
      <c r="Q103" s="376"/>
      <c r="R103" s="383"/>
      <c r="S103" s="332"/>
      <c r="T103" s="331"/>
      <c r="U103" s="333"/>
      <c r="V103" s="333"/>
      <c r="W103" s="384"/>
      <c r="X103" s="383"/>
      <c r="Y103" s="332"/>
      <c r="Z103" s="331"/>
      <c r="AA103" s="331"/>
      <c r="AB103" s="333"/>
      <c r="AC103" s="384"/>
      <c r="AD103" s="375"/>
      <c r="AE103" s="369"/>
      <c r="AF103" s="397"/>
      <c r="AG103" s="328"/>
      <c r="AH103" s="328"/>
      <c r="AI103" s="328"/>
      <c r="AJ103" s="328"/>
      <c r="AK103" s="328"/>
      <c r="AL103" s="328"/>
      <c r="AM103" s="328"/>
      <c r="AN103" s="398"/>
      <c r="AO103" s="402" t="str">
        <f>IF(ISBLANK(tblData[[#This Row],[Surname]]),"",IF(tblData[[#This Row],[Bill Accred Fee]]=0,"NO","YES"))</f>
        <v/>
      </c>
      <c r="AP103" s="406">
        <f>IF(AND(NOT(ISBLANK(tblData[[#This Row],[Surname]])),COUNTA(tblData[[#This Row],[Day 1]:[Day 9]])=0),1,0)</f>
        <v>0</v>
      </c>
      <c r="AQ103" s="406">
        <f>IF(AND(NOT(ISBLANK(tblData[[#This Row],[Surname]])),tblData[[#This Row],[Position]]="Athlete"),1,0)</f>
        <v>0</v>
      </c>
      <c r="AR103" s="433">
        <f>EntryFee*tblData[[#This Row],[Entry Fee Billable]]</f>
        <v>0</v>
      </c>
      <c r="AS103" s="410" t="e">
        <f>IF(ISBLANK(SelectedCategory),"No Cat!",IF(ISBLANK($F103),0,IFERROR(VLOOKUP(AS$12&amp;", "&amp;tblData[[#This Row],[Day 1]],tblAccommodationCosts[],5,FALSE),0)+IFERROR(VLOOKUP(AS$12&amp;", "&amp;tblData[[#This Row],[Day 2]],tblAccommodationCosts[],5,FALSE),0)+IFERROR(VLOOKUP(AS$12&amp;", "&amp;tblData[[#This Row],[Day 3]],tblAccommodationCosts[],5,FALSE),0)+IFERROR(VLOOKUP(AS$12&amp;", "&amp;tblData[[#This Row],[Day 4]],tblAccommodationCosts[],5,FALSE),0)+IFERROR(VLOOKUP(AS$12&amp;", "&amp;tblData[[#This Row],[Day 5]],tblAccommodationCosts[],5,FALSE),0)+IFERROR(VLOOKUP(AS$12&amp;", "&amp;tblData[[#This Row],[Day 6]],tblAccommodationCosts[],5,FALSE),0)+IFERROR(VLOOKUP(AS$12&amp;", "&amp;tblData[[#This Row],[Day 7]],tblAccommodationCosts[],5,FALSE),0)+IFERROR(VLOOKUP(AS$12&amp;", "&amp;tblData[[#This Row],[Day 8]],tblAccommodationCosts[],5,FALSE),0)+IFERROR(VLOOKUP(AS$12&amp;", "&amp;tblData[[#This Row],[Day 9]],tblAccommodationCosts[],5,FALSE),0)+AccreditationFee*tblData[[#This Row],[Bill Accred Fee]]))+tblData[[#This Row],[Entry Fee]]</f>
        <v>#VALUE!</v>
      </c>
      <c r="AT103" s="324" t="str">
        <f>IFERROR(VLOOKUP(tblData[[#This Row],[Weight Category, Function, and Gender]],tblWeightOrFunction[],3,0),"")</f>
        <v/>
      </c>
      <c r="AU103" s="84" t="str">
        <f>IFERROR(VLOOKUP(tblData[[#This Row],[Weight Category, Function, and Gender]],tblWeightOrFunction[],4,0),"")</f>
        <v/>
      </c>
      <c r="AV103" s="85" t="str">
        <f>IFERROR(VLOOKUP(tblData[[#This Row],[Weight Category, Function, and Gender]],tblWeightOrFunction[],7,0),"")</f>
        <v/>
      </c>
      <c r="AW103" s="84" t="str">
        <f>IFERROR(VLOOKUP(tblData[[#This Row],[Weight Category, Function, and Gender]],tblWeightOrFunction[],6,0),"")</f>
        <v/>
      </c>
      <c r="AX103" s="84" t="str">
        <f>IFERROR(VLOOKUP(tblData[[#This Row],[Weight Category, Function, and Gender]],tblWeightOrFunction[],2,0),"")</f>
        <v/>
      </c>
      <c r="AY103" s="75">
        <f>tblData[[#This Row],[Arr Date]]+tblData[[#This Row],[Arr Time]]</f>
        <v>0</v>
      </c>
      <c r="AZ103" s="75">
        <f>tblData[[#This Row],[Dep Date]]+tblData[[#This Row],[Dep Time]]</f>
        <v>0</v>
      </c>
      <c r="BA103" s="72">
        <f>COUNTIF(tblData[Surname],"&lt;="&amp;tblData[Surname])</f>
        <v>0</v>
      </c>
      <c r="BB103" s="72">
        <f>COUNTIF(tblData[Given name],"&lt;="&amp;tblData[Given name])</f>
        <v>0</v>
      </c>
      <c r="BC103" s="72">
        <f>COUNTIF(tblData[Arr DateTime],"&lt;="&amp;tblData[Arr DateTime])</f>
        <v>110</v>
      </c>
      <c r="BD103" s="72">
        <f>COUNTIF(tblData[Dep DateTime],"&lt;="&amp;tblData[Dep DateTime])</f>
        <v>110</v>
      </c>
      <c r="BE103" s="72">
        <f>COUNTIF(tblData[ShuttleAtDeparture],"&lt;="&amp;tblData[ShuttleAtDeparture])</f>
        <v>0</v>
      </c>
      <c r="BI103" s="6" t="str">
        <f t="array" ref="BI103">IF(ROWS(tblData[[#Headers],[Id]]:tblData[[#This Row],[Id]])-1&gt;$BI$11,"",INDEX(tblData[Id],SMALL(IF(LEN(TRIM(tblData[Surname]))*((tblData[Type]=$BI$9)+(tblData[Type]=$BI$10)),ROW(tblData[Id])-ROW(tblData[[#Headers],[Id]])),ROWS(tblData[[#Headers],[Id]]:tblData[[#This Row],[Id]])-1)))</f>
        <v/>
      </c>
      <c r="BK103" s="6" t="str">
        <f>IF(ROWS(tblCoachesAndOfficialsSorted[[#Headers],[Id]]:tblCoachesAndOfficialsSorted[[#This Row],[Id]])-1&gt;$BK$11,"",SMALL(tblCoachesAndOfficials[Id],ROWS(tblCoachesAndOfficialsSorted[[#Headers],[Id]]:tblCoachesAndOfficialsSorted[[#This Row],[Id]])-1))</f>
        <v/>
      </c>
      <c r="BM103" s="6" t="str">
        <f t="array" ref="BM103">IF(ROWS(tblData[[#Headers],[Id]]:tblData[[#This Row],[Id]])-1&gt;$BM$11,"",INDEX(tblData[Id],SMALL(IF(LEN(TRIM(tblData[Surname]))*(tblData[Type]=$BM$9),ROW(tblData[Id])-ROW(tblData[[#Headers],[Id]])),ROWS(tblData[[#Headers],[Id]]:tblData[[#This Row],[Id]])-1)))</f>
        <v/>
      </c>
      <c r="BO103" s="6" t="str">
        <f>IF(ROWS(tblWomenSorted[[#Headers],[Id]]:tblWomenSorted[[#This Row],[Id]])-1&gt;$BO$11,"",SMALL(tblWomen[Id],ROWS(tblWomenSorted[[#Headers],[Id]]:tblWomenSorted[[#This Row],[Id]])-1))</f>
        <v/>
      </c>
      <c r="BP103" s="17"/>
      <c r="BQ103" s="6" t="str">
        <f t="array" ref="BQ103">IF(ROWS(tblData[[#Headers],[Id]]:tblData[[#This Row],[Id]])-1&gt;$BQ$11,"",INDEX(tblData[Id],SMALL(IF(LEN(TRIM(tblData[Surname]))*(tblData[Type]=$BQ$9),ROW(tblData[Id])-ROW(tblData[[#Headers],[Id]])),ROWS(tblData[[#Headers],[Id]]:tblData[[#This Row],[Id]])-1)))</f>
        <v/>
      </c>
      <c r="BS103" s="6" t="str">
        <f>IF(ROWS(tblMenSorted[[#Headers],[Id]]:tblMenSorted[[#This Row],[Id]])-1&gt;$BS$11,"",SMALL(tblMen[Id],ROWS(tblMenSorted[[#Headers],[Id]]:tblMenSorted[[#This Row],[Id]])-1))</f>
        <v/>
      </c>
      <c r="BU103" s="6" t="str">
        <f t="array" ref="BU103">IF(ROWS(tblData[[#Headers],[Sorted Name Id]]:tblData[[#This Row],[Sorted Name Id]])-1&gt;$BU$11,"",INDEX(tblData[Sorted Name Id],SMALL(IF(LEN(TRIM(tblData[Surname]))*(tblData[Visa required]="YES"),ROW(tblData[Sorted Name Id])-ROW(tblData[[#Headers],[Sorted Name Id]])),ROWS(tblData[[#Headers],[Sorted Name Id]]:tblData[[#This Row],[Sorted Name Id]])-1)))</f>
        <v/>
      </c>
      <c r="BW103" s="6" t="str">
        <f>IF(ROWS(tblVisasSorted[[#Headers],[Id]]:tblVisasSorted[[#This Row],[Id]])-1&gt;$BW$11,"",SMALL(tblVisas[Id],ROWS(tblVisasSorted[[#Headers],[Id]]:tblVisasSorted[[#This Row],[Id]])-1))</f>
        <v/>
      </c>
      <c r="BY103" s="6" t="str">
        <f t="array" ref="BY103">IF(ROWS(tblData[[#Headers],[Sorted Arr Id]]:tblData[[#This Row],[Sorted Arr Id]])-1&gt;$BY$11,"",INDEX(tblData[Sorted Arr Id],SMALL(IF(LEN(TRIM(tblData[Surname]))*(tblData[Arr DateTime]&gt;0),ROW(tblData[Sorted Arr Id])-ROW(tblData[[#Headers],[Sorted Arr Id]])),ROWS(tblData[[#Headers],[Sorted Arr Id]]:tblData[[#This Row],[Sorted Arr Id]])-1)))</f>
        <v/>
      </c>
      <c r="CA103" s="6" t="str">
        <f>IF(ROWS(tblArrivalSorted[[#Headers],[Id]]:tblArrivalSorted[[#This Row],[Id]])-1&gt;$CA$11,"",SMALL(tblArrival[Id],ROWS(tblArrivalSorted[[#Headers],[Id]]:tblArrivalSorted[[#This Row],[Id]])-1))</f>
        <v/>
      </c>
      <c r="CC103" s="6" t="str">
        <f t="array" ref="CC103">IF(ROWS(tblData[[#Headers],[Sorted Dep Id]]:tblData[[#This Row],[Sorted Dep Id]])-1&gt;$CC$11,"",INDEX(tblData[Sorted Dep Id],SMALL(IF(LEN(TRIM(tblData[Surname]))*(tblData[Dep DateTime]&gt;0),ROW(tblData[Sorted Dep Id])-ROW(tblData[[#Headers],[Sorted Dep Id]])),ROWS(tblData[[#Headers],[Sorted Dep Id]]:tblData[[#This Row],[Sorted Dep Id]])-1)))</f>
        <v/>
      </c>
      <c r="CE103" s="6" t="str">
        <f>IF(ROWS(tblDepartureSorted[[#Headers],[Id]]:tblDepartureSorted[[#This Row],[Id]])-1&gt;$CE$11,"",SMALL(tblDeparture[Id],ROWS(tblDepartureSorted[[#Headers],[Id]]:tblDepartureSorted[[#This Row],[Id]])-1))</f>
        <v/>
      </c>
      <c r="CG103" s="6" t="str">
        <f t="array" ref="CG103">IF(ROWS(tblData[[#Headers],[Id]]:tblData[[#This Row],[Id]])-1&gt;$CG$11,"",INDEX(tblData[Id],SMALL(IF(LEN(TRIM(tblData[Surname])),ROW(tblData[Id])-ROW(tblData[[#Headers],[Id]])),ROWS(tblData[[#Headers],[Id]]:tblData[[#This Row],[Id]])-1)))</f>
        <v/>
      </c>
    </row>
    <row r="104" spans="1:85" s="6" customFormat="1">
      <c r="A104" s="14">
        <f>IF(ISNUMBER(tblData[[#This Row],[SubType2]]),tblData[[#This Row],[SubType2]]*10000+tblData[[#This Row],[No]],1000000+tblData[[#This Row],[No]])</f>
        <v>1000091</v>
      </c>
      <c r="B104" s="14">
        <f>IFERROR(tblData[[#This Row],[Surname Rang]]*1000+tblData[[#This Row],[Given Name Rang]]+tblData[[#This Row],[No]]/1000,"")</f>
        <v>9.0999999999999998E-2</v>
      </c>
      <c r="C104" s="14">
        <f>IFERROR(tblData[[#This Row],[Arr DateTime Rang]]+tblData[[#This Row],[No]]/1000,"")</f>
        <v>110.09099999999999</v>
      </c>
      <c r="D104" s="14">
        <f>IFERROR(tblData[[#This Row],[Dep DateTime Rang]]+tblData[[#This Row],[No]]/1000,"")</f>
        <v>110.09099999999999</v>
      </c>
      <c r="E104" s="362">
        <f t="shared" si="1"/>
        <v>91</v>
      </c>
      <c r="F104" s="370"/>
      <c r="G104" s="331"/>
      <c r="H104" s="328"/>
      <c r="I104" s="329"/>
      <c r="J104" s="330"/>
      <c r="K104" s="369"/>
      <c r="L104" s="375"/>
      <c r="M104" s="331"/>
      <c r="N104" s="331"/>
      <c r="O104" s="331"/>
      <c r="P104" s="329"/>
      <c r="Q104" s="376"/>
      <c r="R104" s="383"/>
      <c r="S104" s="332"/>
      <c r="T104" s="331"/>
      <c r="U104" s="333"/>
      <c r="V104" s="333"/>
      <c r="W104" s="384"/>
      <c r="X104" s="383"/>
      <c r="Y104" s="332"/>
      <c r="Z104" s="331"/>
      <c r="AA104" s="331"/>
      <c r="AB104" s="333"/>
      <c r="AC104" s="384"/>
      <c r="AD104" s="375"/>
      <c r="AE104" s="369"/>
      <c r="AF104" s="397"/>
      <c r="AG104" s="328"/>
      <c r="AH104" s="328"/>
      <c r="AI104" s="328"/>
      <c r="AJ104" s="328"/>
      <c r="AK104" s="328"/>
      <c r="AL104" s="328"/>
      <c r="AM104" s="328"/>
      <c r="AN104" s="398"/>
      <c r="AO104" s="402" t="str">
        <f>IF(ISBLANK(tblData[[#This Row],[Surname]]),"",IF(tblData[[#This Row],[Bill Accred Fee]]=0,"NO","YES"))</f>
        <v/>
      </c>
      <c r="AP104" s="406">
        <f>IF(AND(NOT(ISBLANK(tblData[[#This Row],[Surname]])),COUNTA(tblData[[#This Row],[Day 1]:[Day 9]])=0),1,0)</f>
        <v>0</v>
      </c>
      <c r="AQ104" s="406">
        <f>IF(AND(NOT(ISBLANK(tblData[[#This Row],[Surname]])),tblData[[#This Row],[Position]]="Athlete"),1,0)</f>
        <v>0</v>
      </c>
      <c r="AR104" s="433">
        <f>EntryFee*tblData[[#This Row],[Entry Fee Billable]]</f>
        <v>0</v>
      </c>
      <c r="AS104" s="410" t="e">
        <f>IF(ISBLANK(SelectedCategory),"No Cat!",IF(ISBLANK($F104),0,IFERROR(VLOOKUP(AS$12&amp;", "&amp;tblData[[#This Row],[Day 1]],tblAccommodationCosts[],5,FALSE),0)+IFERROR(VLOOKUP(AS$12&amp;", "&amp;tblData[[#This Row],[Day 2]],tblAccommodationCosts[],5,FALSE),0)+IFERROR(VLOOKUP(AS$12&amp;", "&amp;tblData[[#This Row],[Day 3]],tblAccommodationCosts[],5,FALSE),0)+IFERROR(VLOOKUP(AS$12&amp;", "&amp;tblData[[#This Row],[Day 4]],tblAccommodationCosts[],5,FALSE),0)+IFERROR(VLOOKUP(AS$12&amp;", "&amp;tblData[[#This Row],[Day 5]],tblAccommodationCosts[],5,FALSE),0)+IFERROR(VLOOKUP(AS$12&amp;", "&amp;tblData[[#This Row],[Day 6]],tblAccommodationCosts[],5,FALSE),0)+IFERROR(VLOOKUP(AS$12&amp;", "&amp;tblData[[#This Row],[Day 7]],tblAccommodationCosts[],5,FALSE),0)+IFERROR(VLOOKUP(AS$12&amp;", "&amp;tblData[[#This Row],[Day 8]],tblAccommodationCosts[],5,FALSE),0)+IFERROR(VLOOKUP(AS$12&amp;", "&amp;tblData[[#This Row],[Day 9]],tblAccommodationCosts[],5,FALSE),0)+AccreditationFee*tblData[[#This Row],[Bill Accred Fee]]))+tblData[[#This Row],[Entry Fee]]</f>
        <v>#VALUE!</v>
      </c>
      <c r="AT104" s="324" t="str">
        <f>IFERROR(VLOOKUP(tblData[[#This Row],[Weight Category, Function, and Gender]],tblWeightOrFunction[],3,0),"")</f>
        <v/>
      </c>
      <c r="AU104" s="84" t="str">
        <f>IFERROR(VLOOKUP(tblData[[#This Row],[Weight Category, Function, and Gender]],tblWeightOrFunction[],4,0),"")</f>
        <v/>
      </c>
      <c r="AV104" s="85" t="str">
        <f>IFERROR(VLOOKUP(tblData[[#This Row],[Weight Category, Function, and Gender]],tblWeightOrFunction[],7,0),"")</f>
        <v/>
      </c>
      <c r="AW104" s="84" t="str">
        <f>IFERROR(VLOOKUP(tblData[[#This Row],[Weight Category, Function, and Gender]],tblWeightOrFunction[],6,0),"")</f>
        <v/>
      </c>
      <c r="AX104" s="84" t="str">
        <f>IFERROR(VLOOKUP(tblData[[#This Row],[Weight Category, Function, and Gender]],tblWeightOrFunction[],2,0),"")</f>
        <v/>
      </c>
      <c r="AY104" s="75">
        <f>tblData[[#This Row],[Arr Date]]+tblData[[#This Row],[Arr Time]]</f>
        <v>0</v>
      </c>
      <c r="AZ104" s="75">
        <f>tblData[[#This Row],[Dep Date]]+tblData[[#This Row],[Dep Time]]</f>
        <v>0</v>
      </c>
      <c r="BA104" s="72">
        <f>COUNTIF(tblData[Surname],"&lt;="&amp;tblData[Surname])</f>
        <v>0</v>
      </c>
      <c r="BB104" s="72">
        <f>COUNTIF(tblData[Given name],"&lt;="&amp;tblData[Given name])</f>
        <v>0</v>
      </c>
      <c r="BC104" s="72">
        <f>COUNTIF(tblData[Arr DateTime],"&lt;="&amp;tblData[Arr DateTime])</f>
        <v>110</v>
      </c>
      <c r="BD104" s="72">
        <f>COUNTIF(tblData[Dep DateTime],"&lt;="&amp;tblData[Dep DateTime])</f>
        <v>110</v>
      </c>
      <c r="BE104" s="72">
        <f>COUNTIF(tblData[ShuttleAtDeparture],"&lt;="&amp;tblData[ShuttleAtDeparture])</f>
        <v>0</v>
      </c>
      <c r="BI104" s="6" t="str">
        <f t="array" ref="BI104">IF(ROWS(tblData[[#Headers],[Id]]:tblData[[#This Row],[Id]])-1&gt;$BI$11,"",INDEX(tblData[Id],SMALL(IF(LEN(TRIM(tblData[Surname]))*((tblData[Type]=$BI$9)+(tblData[Type]=$BI$10)),ROW(tblData[Id])-ROW(tblData[[#Headers],[Id]])),ROWS(tblData[[#Headers],[Id]]:tblData[[#This Row],[Id]])-1)))</f>
        <v/>
      </c>
      <c r="BK104" s="6" t="str">
        <f>IF(ROWS(tblCoachesAndOfficialsSorted[[#Headers],[Id]]:tblCoachesAndOfficialsSorted[[#This Row],[Id]])-1&gt;$BK$11,"",SMALL(tblCoachesAndOfficials[Id],ROWS(tblCoachesAndOfficialsSorted[[#Headers],[Id]]:tblCoachesAndOfficialsSorted[[#This Row],[Id]])-1))</f>
        <v/>
      </c>
      <c r="BM104" s="6" t="str">
        <f t="array" ref="BM104">IF(ROWS(tblData[[#Headers],[Id]]:tblData[[#This Row],[Id]])-1&gt;$BM$11,"",INDEX(tblData[Id],SMALL(IF(LEN(TRIM(tblData[Surname]))*(tblData[Type]=$BM$9),ROW(tblData[Id])-ROW(tblData[[#Headers],[Id]])),ROWS(tblData[[#Headers],[Id]]:tblData[[#This Row],[Id]])-1)))</f>
        <v/>
      </c>
      <c r="BO104" s="6" t="str">
        <f>IF(ROWS(tblWomenSorted[[#Headers],[Id]]:tblWomenSorted[[#This Row],[Id]])-1&gt;$BO$11,"",SMALL(tblWomen[Id],ROWS(tblWomenSorted[[#Headers],[Id]]:tblWomenSorted[[#This Row],[Id]])-1))</f>
        <v/>
      </c>
      <c r="BP104" s="17"/>
      <c r="BQ104" s="6" t="str">
        <f t="array" ref="BQ104">IF(ROWS(tblData[[#Headers],[Id]]:tblData[[#This Row],[Id]])-1&gt;$BQ$11,"",INDEX(tblData[Id],SMALL(IF(LEN(TRIM(tblData[Surname]))*(tblData[Type]=$BQ$9),ROW(tblData[Id])-ROW(tblData[[#Headers],[Id]])),ROWS(tblData[[#Headers],[Id]]:tblData[[#This Row],[Id]])-1)))</f>
        <v/>
      </c>
      <c r="BS104" s="6" t="str">
        <f>IF(ROWS(tblMenSorted[[#Headers],[Id]]:tblMenSorted[[#This Row],[Id]])-1&gt;$BS$11,"",SMALL(tblMen[Id],ROWS(tblMenSorted[[#Headers],[Id]]:tblMenSorted[[#This Row],[Id]])-1))</f>
        <v/>
      </c>
      <c r="BU104" s="6" t="str">
        <f t="array" ref="BU104">IF(ROWS(tblData[[#Headers],[Sorted Name Id]]:tblData[[#This Row],[Sorted Name Id]])-1&gt;$BU$11,"",INDEX(tblData[Sorted Name Id],SMALL(IF(LEN(TRIM(tblData[Surname]))*(tblData[Visa required]="YES"),ROW(tblData[Sorted Name Id])-ROW(tblData[[#Headers],[Sorted Name Id]])),ROWS(tblData[[#Headers],[Sorted Name Id]]:tblData[[#This Row],[Sorted Name Id]])-1)))</f>
        <v/>
      </c>
      <c r="BW104" s="6" t="str">
        <f>IF(ROWS(tblVisasSorted[[#Headers],[Id]]:tblVisasSorted[[#This Row],[Id]])-1&gt;$BW$11,"",SMALL(tblVisas[Id],ROWS(tblVisasSorted[[#Headers],[Id]]:tblVisasSorted[[#This Row],[Id]])-1))</f>
        <v/>
      </c>
      <c r="BY104" s="6" t="str">
        <f t="array" ref="BY104">IF(ROWS(tblData[[#Headers],[Sorted Arr Id]]:tblData[[#This Row],[Sorted Arr Id]])-1&gt;$BY$11,"",INDEX(tblData[Sorted Arr Id],SMALL(IF(LEN(TRIM(tblData[Surname]))*(tblData[Arr DateTime]&gt;0),ROW(tblData[Sorted Arr Id])-ROW(tblData[[#Headers],[Sorted Arr Id]])),ROWS(tblData[[#Headers],[Sorted Arr Id]]:tblData[[#This Row],[Sorted Arr Id]])-1)))</f>
        <v/>
      </c>
      <c r="CA104" s="6" t="str">
        <f>IF(ROWS(tblArrivalSorted[[#Headers],[Id]]:tblArrivalSorted[[#This Row],[Id]])-1&gt;$CA$11,"",SMALL(tblArrival[Id],ROWS(tblArrivalSorted[[#Headers],[Id]]:tblArrivalSorted[[#This Row],[Id]])-1))</f>
        <v/>
      </c>
      <c r="CC104" s="6" t="str">
        <f t="array" ref="CC104">IF(ROWS(tblData[[#Headers],[Sorted Dep Id]]:tblData[[#This Row],[Sorted Dep Id]])-1&gt;$CC$11,"",INDEX(tblData[Sorted Dep Id],SMALL(IF(LEN(TRIM(tblData[Surname]))*(tblData[Dep DateTime]&gt;0),ROW(tblData[Sorted Dep Id])-ROW(tblData[[#Headers],[Sorted Dep Id]])),ROWS(tblData[[#Headers],[Sorted Dep Id]]:tblData[[#This Row],[Sorted Dep Id]])-1)))</f>
        <v/>
      </c>
      <c r="CE104" s="6" t="str">
        <f>IF(ROWS(tblDepartureSorted[[#Headers],[Id]]:tblDepartureSorted[[#This Row],[Id]])-1&gt;$CE$11,"",SMALL(tblDeparture[Id],ROWS(tblDepartureSorted[[#Headers],[Id]]:tblDepartureSorted[[#This Row],[Id]])-1))</f>
        <v/>
      </c>
      <c r="CG104" s="6" t="str">
        <f t="array" ref="CG104">IF(ROWS(tblData[[#Headers],[Id]]:tblData[[#This Row],[Id]])-1&gt;$CG$11,"",INDEX(tblData[Id],SMALL(IF(LEN(TRIM(tblData[Surname])),ROW(tblData[Id])-ROW(tblData[[#Headers],[Id]])),ROWS(tblData[[#Headers],[Id]]:tblData[[#This Row],[Id]])-1)))</f>
        <v/>
      </c>
    </row>
    <row r="105" spans="1:85" s="6" customFormat="1">
      <c r="A105" s="14">
        <f>IF(ISNUMBER(tblData[[#This Row],[SubType2]]),tblData[[#This Row],[SubType2]]*10000+tblData[[#This Row],[No]],1000000+tblData[[#This Row],[No]])</f>
        <v>1000092</v>
      </c>
      <c r="B105" s="14">
        <f>IFERROR(tblData[[#This Row],[Surname Rang]]*1000+tblData[[#This Row],[Given Name Rang]]+tblData[[#This Row],[No]]/1000,"")</f>
        <v>9.1999999999999998E-2</v>
      </c>
      <c r="C105" s="14">
        <f>IFERROR(tblData[[#This Row],[Arr DateTime Rang]]+tblData[[#This Row],[No]]/1000,"")</f>
        <v>110.092</v>
      </c>
      <c r="D105" s="14">
        <f>IFERROR(tblData[[#This Row],[Dep DateTime Rang]]+tblData[[#This Row],[No]]/1000,"")</f>
        <v>110.092</v>
      </c>
      <c r="E105" s="362">
        <f t="shared" si="1"/>
        <v>92</v>
      </c>
      <c r="F105" s="370"/>
      <c r="G105" s="331"/>
      <c r="H105" s="328"/>
      <c r="I105" s="329"/>
      <c r="J105" s="330"/>
      <c r="K105" s="369"/>
      <c r="L105" s="375"/>
      <c r="M105" s="331"/>
      <c r="N105" s="331"/>
      <c r="O105" s="331"/>
      <c r="P105" s="329"/>
      <c r="Q105" s="376"/>
      <c r="R105" s="383"/>
      <c r="S105" s="332"/>
      <c r="T105" s="331"/>
      <c r="U105" s="333"/>
      <c r="V105" s="333"/>
      <c r="W105" s="384"/>
      <c r="X105" s="383"/>
      <c r="Y105" s="332"/>
      <c r="Z105" s="331"/>
      <c r="AA105" s="331"/>
      <c r="AB105" s="333"/>
      <c r="AC105" s="384"/>
      <c r="AD105" s="375"/>
      <c r="AE105" s="369"/>
      <c r="AF105" s="397"/>
      <c r="AG105" s="328"/>
      <c r="AH105" s="328"/>
      <c r="AI105" s="328"/>
      <c r="AJ105" s="328"/>
      <c r="AK105" s="328"/>
      <c r="AL105" s="328"/>
      <c r="AM105" s="328"/>
      <c r="AN105" s="398"/>
      <c r="AO105" s="402" t="str">
        <f>IF(ISBLANK(tblData[[#This Row],[Surname]]),"",IF(tblData[[#This Row],[Bill Accred Fee]]=0,"NO","YES"))</f>
        <v/>
      </c>
      <c r="AP105" s="406">
        <f>IF(AND(NOT(ISBLANK(tblData[[#This Row],[Surname]])),COUNTA(tblData[[#This Row],[Day 1]:[Day 9]])=0),1,0)</f>
        <v>0</v>
      </c>
      <c r="AQ105" s="406">
        <f>IF(AND(NOT(ISBLANK(tblData[[#This Row],[Surname]])),tblData[[#This Row],[Position]]="Athlete"),1,0)</f>
        <v>0</v>
      </c>
      <c r="AR105" s="433">
        <f>EntryFee*tblData[[#This Row],[Entry Fee Billable]]</f>
        <v>0</v>
      </c>
      <c r="AS105" s="410" t="e">
        <f>IF(ISBLANK(SelectedCategory),"No Cat!",IF(ISBLANK($F105),0,IFERROR(VLOOKUP(AS$12&amp;", "&amp;tblData[[#This Row],[Day 1]],tblAccommodationCosts[],5,FALSE),0)+IFERROR(VLOOKUP(AS$12&amp;", "&amp;tblData[[#This Row],[Day 2]],tblAccommodationCosts[],5,FALSE),0)+IFERROR(VLOOKUP(AS$12&amp;", "&amp;tblData[[#This Row],[Day 3]],tblAccommodationCosts[],5,FALSE),0)+IFERROR(VLOOKUP(AS$12&amp;", "&amp;tblData[[#This Row],[Day 4]],tblAccommodationCosts[],5,FALSE),0)+IFERROR(VLOOKUP(AS$12&amp;", "&amp;tblData[[#This Row],[Day 5]],tblAccommodationCosts[],5,FALSE),0)+IFERROR(VLOOKUP(AS$12&amp;", "&amp;tblData[[#This Row],[Day 6]],tblAccommodationCosts[],5,FALSE),0)+IFERROR(VLOOKUP(AS$12&amp;", "&amp;tblData[[#This Row],[Day 7]],tblAccommodationCosts[],5,FALSE),0)+IFERROR(VLOOKUP(AS$12&amp;", "&amp;tblData[[#This Row],[Day 8]],tblAccommodationCosts[],5,FALSE),0)+IFERROR(VLOOKUP(AS$12&amp;", "&amp;tblData[[#This Row],[Day 9]],tblAccommodationCosts[],5,FALSE),0)+AccreditationFee*tblData[[#This Row],[Bill Accred Fee]]))+tblData[[#This Row],[Entry Fee]]</f>
        <v>#VALUE!</v>
      </c>
      <c r="AT105" s="324" t="str">
        <f>IFERROR(VLOOKUP(tblData[[#This Row],[Weight Category, Function, and Gender]],tblWeightOrFunction[],3,0),"")</f>
        <v/>
      </c>
      <c r="AU105" s="84" t="str">
        <f>IFERROR(VLOOKUP(tblData[[#This Row],[Weight Category, Function, and Gender]],tblWeightOrFunction[],4,0),"")</f>
        <v/>
      </c>
      <c r="AV105" s="85" t="str">
        <f>IFERROR(VLOOKUP(tblData[[#This Row],[Weight Category, Function, and Gender]],tblWeightOrFunction[],7,0),"")</f>
        <v/>
      </c>
      <c r="AW105" s="84" t="str">
        <f>IFERROR(VLOOKUP(tblData[[#This Row],[Weight Category, Function, and Gender]],tblWeightOrFunction[],6,0),"")</f>
        <v/>
      </c>
      <c r="AX105" s="84" t="str">
        <f>IFERROR(VLOOKUP(tblData[[#This Row],[Weight Category, Function, and Gender]],tblWeightOrFunction[],2,0),"")</f>
        <v/>
      </c>
      <c r="AY105" s="75">
        <f>tblData[[#This Row],[Arr Date]]+tblData[[#This Row],[Arr Time]]</f>
        <v>0</v>
      </c>
      <c r="AZ105" s="75">
        <f>tblData[[#This Row],[Dep Date]]+tblData[[#This Row],[Dep Time]]</f>
        <v>0</v>
      </c>
      <c r="BA105" s="72">
        <f>COUNTIF(tblData[Surname],"&lt;="&amp;tblData[Surname])</f>
        <v>0</v>
      </c>
      <c r="BB105" s="72">
        <f>COUNTIF(tblData[Given name],"&lt;="&amp;tblData[Given name])</f>
        <v>0</v>
      </c>
      <c r="BC105" s="72">
        <f>COUNTIF(tblData[Arr DateTime],"&lt;="&amp;tblData[Arr DateTime])</f>
        <v>110</v>
      </c>
      <c r="BD105" s="72">
        <f>COUNTIF(tblData[Dep DateTime],"&lt;="&amp;tblData[Dep DateTime])</f>
        <v>110</v>
      </c>
      <c r="BE105" s="72">
        <f>COUNTIF(tblData[ShuttleAtDeparture],"&lt;="&amp;tblData[ShuttleAtDeparture])</f>
        <v>0</v>
      </c>
      <c r="BI105" s="6" t="str">
        <f t="array" ref="BI105">IF(ROWS(tblData[[#Headers],[Id]]:tblData[[#This Row],[Id]])-1&gt;$BI$11,"",INDEX(tblData[Id],SMALL(IF(LEN(TRIM(tblData[Surname]))*((tblData[Type]=$BI$9)+(tblData[Type]=$BI$10)),ROW(tblData[Id])-ROW(tblData[[#Headers],[Id]])),ROWS(tblData[[#Headers],[Id]]:tblData[[#This Row],[Id]])-1)))</f>
        <v/>
      </c>
      <c r="BK105" s="6" t="str">
        <f>IF(ROWS(tblCoachesAndOfficialsSorted[[#Headers],[Id]]:tblCoachesAndOfficialsSorted[[#This Row],[Id]])-1&gt;$BK$11,"",SMALL(tblCoachesAndOfficials[Id],ROWS(tblCoachesAndOfficialsSorted[[#Headers],[Id]]:tblCoachesAndOfficialsSorted[[#This Row],[Id]])-1))</f>
        <v/>
      </c>
      <c r="BM105" s="6" t="str">
        <f t="array" ref="BM105">IF(ROWS(tblData[[#Headers],[Id]]:tblData[[#This Row],[Id]])-1&gt;$BM$11,"",INDEX(tblData[Id],SMALL(IF(LEN(TRIM(tblData[Surname]))*(tblData[Type]=$BM$9),ROW(tblData[Id])-ROW(tblData[[#Headers],[Id]])),ROWS(tblData[[#Headers],[Id]]:tblData[[#This Row],[Id]])-1)))</f>
        <v/>
      </c>
      <c r="BO105" s="6" t="str">
        <f>IF(ROWS(tblWomenSorted[[#Headers],[Id]]:tblWomenSorted[[#This Row],[Id]])-1&gt;$BO$11,"",SMALL(tblWomen[Id],ROWS(tblWomenSorted[[#Headers],[Id]]:tblWomenSorted[[#This Row],[Id]])-1))</f>
        <v/>
      </c>
      <c r="BP105" s="17"/>
      <c r="BQ105" s="6" t="str">
        <f t="array" ref="BQ105">IF(ROWS(tblData[[#Headers],[Id]]:tblData[[#This Row],[Id]])-1&gt;$BQ$11,"",INDEX(tblData[Id],SMALL(IF(LEN(TRIM(tblData[Surname]))*(tblData[Type]=$BQ$9),ROW(tblData[Id])-ROW(tblData[[#Headers],[Id]])),ROWS(tblData[[#Headers],[Id]]:tblData[[#This Row],[Id]])-1)))</f>
        <v/>
      </c>
      <c r="BS105" s="6" t="str">
        <f>IF(ROWS(tblMenSorted[[#Headers],[Id]]:tblMenSorted[[#This Row],[Id]])-1&gt;$BS$11,"",SMALL(tblMen[Id],ROWS(tblMenSorted[[#Headers],[Id]]:tblMenSorted[[#This Row],[Id]])-1))</f>
        <v/>
      </c>
      <c r="BU105" s="6" t="str">
        <f t="array" ref="BU105">IF(ROWS(tblData[[#Headers],[Sorted Name Id]]:tblData[[#This Row],[Sorted Name Id]])-1&gt;$BU$11,"",INDEX(tblData[Sorted Name Id],SMALL(IF(LEN(TRIM(tblData[Surname]))*(tblData[Visa required]="YES"),ROW(tblData[Sorted Name Id])-ROW(tblData[[#Headers],[Sorted Name Id]])),ROWS(tblData[[#Headers],[Sorted Name Id]]:tblData[[#This Row],[Sorted Name Id]])-1)))</f>
        <v/>
      </c>
      <c r="BW105" s="6" t="str">
        <f>IF(ROWS(tblVisasSorted[[#Headers],[Id]]:tblVisasSorted[[#This Row],[Id]])-1&gt;$BW$11,"",SMALL(tblVisas[Id],ROWS(tblVisasSorted[[#Headers],[Id]]:tblVisasSorted[[#This Row],[Id]])-1))</f>
        <v/>
      </c>
      <c r="BY105" s="6" t="str">
        <f t="array" ref="BY105">IF(ROWS(tblData[[#Headers],[Sorted Arr Id]]:tblData[[#This Row],[Sorted Arr Id]])-1&gt;$BY$11,"",INDEX(tblData[Sorted Arr Id],SMALL(IF(LEN(TRIM(tblData[Surname]))*(tblData[Arr DateTime]&gt;0),ROW(tblData[Sorted Arr Id])-ROW(tblData[[#Headers],[Sorted Arr Id]])),ROWS(tblData[[#Headers],[Sorted Arr Id]]:tblData[[#This Row],[Sorted Arr Id]])-1)))</f>
        <v/>
      </c>
      <c r="CA105" s="6" t="str">
        <f>IF(ROWS(tblArrivalSorted[[#Headers],[Id]]:tblArrivalSorted[[#This Row],[Id]])-1&gt;$CA$11,"",SMALL(tblArrival[Id],ROWS(tblArrivalSorted[[#Headers],[Id]]:tblArrivalSorted[[#This Row],[Id]])-1))</f>
        <v/>
      </c>
      <c r="CC105" s="6" t="str">
        <f t="array" ref="CC105">IF(ROWS(tblData[[#Headers],[Sorted Dep Id]]:tblData[[#This Row],[Sorted Dep Id]])-1&gt;$CC$11,"",INDEX(tblData[Sorted Dep Id],SMALL(IF(LEN(TRIM(tblData[Surname]))*(tblData[Dep DateTime]&gt;0),ROW(tblData[Sorted Dep Id])-ROW(tblData[[#Headers],[Sorted Dep Id]])),ROWS(tblData[[#Headers],[Sorted Dep Id]]:tblData[[#This Row],[Sorted Dep Id]])-1)))</f>
        <v/>
      </c>
      <c r="CE105" s="6" t="str">
        <f>IF(ROWS(tblDepartureSorted[[#Headers],[Id]]:tblDepartureSorted[[#This Row],[Id]])-1&gt;$CE$11,"",SMALL(tblDeparture[Id],ROWS(tblDepartureSorted[[#Headers],[Id]]:tblDepartureSorted[[#This Row],[Id]])-1))</f>
        <v/>
      </c>
      <c r="CG105" s="6" t="str">
        <f t="array" ref="CG105">IF(ROWS(tblData[[#Headers],[Id]]:tblData[[#This Row],[Id]])-1&gt;$CG$11,"",INDEX(tblData[Id],SMALL(IF(LEN(TRIM(tblData[Surname])),ROW(tblData[Id])-ROW(tblData[[#Headers],[Id]])),ROWS(tblData[[#Headers],[Id]]:tblData[[#This Row],[Id]])-1)))</f>
        <v/>
      </c>
    </row>
    <row r="106" spans="1:85" s="6" customFormat="1">
      <c r="A106" s="14">
        <f>IF(ISNUMBER(tblData[[#This Row],[SubType2]]),tblData[[#This Row],[SubType2]]*10000+tblData[[#This Row],[No]],1000000+tblData[[#This Row],[No]])</f>
        <v>1000093</v>
      </c>
      <c r="B106" s="14">
        <f>IFERROR(tblData[[#This Row],[Surname Rang]]*1000+tblData[[#This Row],[Given Name Rang]]+tblData[[#This Row],[No]]/1000,"")</f>
        <v>9.2999999999999999E-2</v>
      </c>
      <c r="C106" s="14">
        <f>IFERROR(tblData[[#This Row],[Arr DateTime Rang]]+tblData[[#This Row],[No]]/1000,"")</f>
        <v>110.093</v>
      </c>
      <c r="D106" s="14">
        <f>IFERROR(tblData[[#This Row],[Dep DateTime Rang]]+tblData[[#This Row],[No]]/1000,"")</f>
        <v>110.093</v>
      </c>
      <c r="E106" s="362">
        <f t="shared" si="1"/>
        <v>93</v>
      </c>
      <c r="F106" s="370"/>
      <c r="G106" s="331"/>
      <c r="H106" s="328"/>
      <c r="I106" s="329"/>
      <c r="J106" s="330"/>
      <c r="K106" s="369"/>
      <c r="L106" s="375"/>
      <c r="M106" s="331"/>
      <c r="N106" s="331"/>
      <c r="O106" s="331"/>
      <c r="P106" s="329"/>
      <c r="Q106" s="376"/>
      <c r="R106" s="383"/>
      <c r="S106" s="332"/>
      <c r="T106" s="331"/>
      <c r="U106" s="333"/>
      <c r="V106" s="333"/>
      <c r="W106" s="384"/>
      <c r="X106" s="383"/>
      <c r="Y106" s="332"/>
      <c r="Z106" s="331"/>
      <c r="AA106" s="331"/>
      <c r="AB106" s="333"/>
      <c r="AC106" s="384"/>
      <c r="AD106" s="375"/>
      <c r="AE106" s="369"/>
      <c r="AF106" s="397"/>
      <c r="AG106" s="328"/>
      <c r="AH106" s="328"/>
      <c r="AI106" s="328"/>
      <c r="AJ106" s="328"/>
      <c r="AK106" s="328"/>
      <c r="AL106" s="328"/>
      <c r="AM106" s="328"/>
      <c r="AN106" s="398"/>
      <c r="AO106" s="402" t="str">
        <f>IF(ISBLANK(tblData[[#This Row],[Surname]]),"",IF(tblData[[#This Row],[Bill Accred Fee]]=0,"NO","YES"))</f>
        <v/>
      </c>
      <c r="AP106" s="406">
        <f>IF(AND(NOT(ISBLANK(tblData[[#This Row],[Surname]])),COUNTA(tblData[[#This Row],[Day 1]:[Day 9]])=0),1,0)</f>
        <v>0</v>
      </c>
      <c r="AQ106" s="406">
        <f>IF(AND(NOT(ISBLANK(tblData[[#This Row],[Surname]])),tblData[[#This Row],[Position]]="Athlete"),1,0)</f>
        <v>0</v>
      </c>
      <c r="AR106" s="433">
        <f>EntryFee*tblData[[#This Row],[Entry Fee Billable]]</f>
        <v>0</v>
      </c>
      <c r="AS106" s="410" t="e">
        <f>IF(ISBLANK(SelectedCategory),"No Cat!",IF(ISBLANK($F106),0,IFERROR(VLOOKUP(AS$12&amp;", "&amp;tblData[[#This Row],[Day 1]],tblAccommodationCosts[],5,FALSE),0)+IFERROR(VLOOKUP(AS$12&amp;", "&amp;tblData[[#This Row],[Day 2]],tblAccommodationCosts[],5,FALSE),0)+IFERROR(VLOOKUP(AS$12&amp;", "&amp;tblData[[#This Row],[Day 3]],tblAccommodationCosts[],5,FALSE),0)+IFERROR(VLOOKUP(AS$12&amp;", "&amp;tblData[[#This Row],[Day 4]],tblAccommodationCosts[],5,FALSE),0)+IFERROR(VLOOKUP(AS$12&amp;", "&amp;tblData[[#This Row],[Day 5]],tblAccommodationCosts[],5,FALSE),0)+IFERROR(VLOOKUP(AS$12&amp;", "&amp;tblData[[#This Row],[Day 6]],tblAccommodationCosts[],5,FALSE),0)+IFERROR(VLOOKUP(AS$12&amp;", "&amp;tblData[[#This Row],[Day 7]],tblAccommodationCosts[],5,FALSE),0)+IFERROR(VLOOKUP(AS$12&amp;", "&amp;tblData[[#This Row],[Day 8]],tblAccommodationCosts[],5,FALSE),0)+IFERROR(VLOOKUP(AS$12&amp;", "&amp;tblData[[#This Row],[Day 9]],tblAccommodationCosts[],5,FALSE),0)+AccreditationFee*tblData[[#This Row],[Bill Accred Fee]]))+tblData[[#This Row],[Entry Fee]]</f>
        <v>#VALUE!</v>
      </c>
      <c r="AT106" s="324" t="str">
        <f>IFERROR(VLOOKUP(tblData[[#This Row],[Weight Category, Function, and Gender]],tblWeightOrFunction[],3,0),"")</f>
        <v/>
      </c>
      <c r="AU106" s="84" t="str">
        <f>IFERROR(VLOOKUP(tblData[[#This Row],[Weight Category, Function, and Gender]],tblWeightOrFunction[],4,0),"")</f>
        <v/>
      </c>
      <c r="AV106" s="85" t="str">
        <f>IFERROR(VLOOKUP(tblData[[#This Row],[Weight Category, Function, and Gender]],tblWeightOrFunction[],7,0),"")</f>
        <v/>
      </c>
      <c r="AW106" s="84" t="str">
        <f>IFERROR(VLOOKUP(tblData[[#This Row],[Weight Category, Function, and Gender]],tblWeightOrFunction[],6,0),"")</f>
        <v/>
      </c>
      <c r="AX106" s="84" t="str">
        <f>IFERROR(VLOOKUP(tblData[[#This Row],[Weight Category, Function, and Gender]],tblWeightOrFunction[],2,0),"")</f>
        <v/>
      </c>
      <c r="AY106" s="75">
        <f>tblData[[#This Row],[Arr Date]]+tblData[[#This Row],[Arr Time]]</f>
        <v>0</v>
      </c>
      <c r="AZ106" s="75">
        <f>tblData[[#This Row],[Dep Date]]+tblData[[#This Row],[Dep Time]]</f>
        <v>0</v>
      </c>
      <c r="BA106" s="72">
        <f>COUNTIF(tblData[Surname],"&lt;="&amp;tblData[Surname])</f>
        <v>0</v>
      </c>
      <c r="BB106" s="72">
        <f>COUNTIF(tblData[Given name],"&lt;="&amp;tblData[Given name])</f>
        <v>0</v>
      </c>
      <c r="BC106" s="72">
        <f>COUNTIF(tblData[Arr DateTime],"&lt;="&amp;tblData[Arr DateTime])</f>
        <v>110</v>
      </c>
      <c r="BD106" s="72">
        <f>COUNTIF(tblData[Dep DateTime],"&lt;="&amp;tblData[Dep DateTime])</f>
        <v>110</v>
      </c>
      <c r="BE106" s="72">
        <f>COUNTIF(tblData[ShuttleAtDeparture],"&lt;="&amp;tblData[ShuttleAtDeparture])</f>
        <v>0</v>
      </c>
      <c r="BI106" s="6" t="str">
        <f t="array" ref="BI106">IF(ROWS(tblData[[#Headers],[Id]]:tblData[[#This Row],[Id]])-1&gt;$BI$11,"",INDEX(tblData[Id],SMALL(IF(LEN(TRIM(tblData[Surname]))*((tblData[Type]=$BI$9)+(tblData[Type]=$BI$10)),ROW(tblData[Id])-ROW(tblData[[#Headers],[Id]])),ROWS(tblData[[#Headers],[Id]]:tblData[[#This Row],[Id]])-1)))</f>
        <v/>
      </c>
      <c r="BK106" s="6" t="str">
        <f>IF(ROWS(tblCoachesAndOfficialsSorted[[#Headers],[Id]]:tblCoachesAndOfficialsSorted[[#This Row],[Id]])-1&gt;$BK$11,"",SMALL(tblCoachesAndOfficials[Id],ROWS(tblCoachesAndOfficialsSorted[[#Headers],[Id]]:tblCoachesAndOfficialsSorted[[#This Row],[Id]])-1))</f>
        <v/>
      </c>
      <c r="BM106" s="6" t="str">
        <f t="array" ref="BM106">IF(ROWS(tblData[[#Headers],[Id]]:tblData[[#This Row],[Id]])-1&gt;$BM$11,"",INDEX(tblData[Id],SMALL(IF(LEN(TRIM(tblData[Surname]))*(tblData[Type]=$BM$9),ROW(tblData[Id])-ROW(tblData[[#Headers],[Id]])),ROWS(tblData[[#Headers],[Id]]:tblData[[#This Row],[Id]])-1)))</f>
        <v/>
      </c>
      <c r="BO106" s="6" t="str">
        <f>IF(ROWS(tblWomenSorted[[#Headers],[Id]]:tblWomenSorted[[#This Row],[Id]])-1&gt;$BO$11,"",SMALL(tblWomen[Id],ROWS(tblWomenSorted[[#Headers],[Id]]:tblWomenSorted[[#This Row],[Id]])-1))</f>
        <v/>
      </c>
      <c r="BP106" s="17"/>
      <c r="BQ106" s="6" t="str">
        <f t="array" ref="BQ106">IF(ROWS(tblData[[#Headers],[Id]]:tblData[[#This Row],[Id]])-1&gt;$BQ$11,"",INDEX(tblData[Id],SMALL(IF(LEN(TRIM(tblData[Surname]))*(tblData[Type]=$BQ$9),ROW(tblData[Id])-ROW(tblData[[#Headers],[Id]])),ROWS(tblData[[#Headers],[Id]]:tblData[[#This Row],[Id]])-1)))</f>
        <v/>
      </c>
      <c r="BS106" s="6" t="str">
        <f>IF(ROWS(tblMenSorted[[#Headers],[Id]]:tblMenSorted[[#This Row],[Id]])-1&gt;$BS$11,"",SMALL(tblMen[Id],ROWS(tblMenSorted[[#Headers],[Id]]:tblMenSorted[[#This Row],[Id]])-1))</f>
        <v/>
      </c>
      <c r="BU106" s="6" t="str">
        <f t="array" ref="BU106">IF(ROWS(tblData[[#Headers],[Sorted Name Id]]:tblData[[#This Row],[Sorted Name Id]])-1&gt;$BU$11,"",INDEX(tblData[Sorted Name Id],SMALL(IF(LEN(TRIM(tblData[Surname]))*(tblData[Visa required]="YES"),ROW(tblData[Sorted Name Id])-ROW(tblData[[#Headers],[Sorted Name Id]])),ROWS(tblData[[#Headers],[Sorted Name Id]]:tblData[[#This Row],[Sorted Name Id]])-1)))</f>
        <v/>
      </c>
      <c r="BW106" s="6" t="str">
        <f>IF(ROWS(tblVisasSorted[[#Headers],[Id]]:tblVisasSorted[[#This Row],[Id]])-1&gt;$BW$11,"",SMALL(tblVisas[Id],ROWS(tblVisasSorted[[#Headers],[Id]]:tblVisasSorted[[#This Row],[Id]])-1))</f>
        <v/>
      </c>
      <c r="BY106" s="6" t="str">
        <f t="array" ref="BY106">IF(ROWS(tblData[[#Headers],[Sorted Arr Id]]:tblData[[#This Row],[Sorted Arr Id]])-1&gt;$BY$11,"",INDEX(tblData[Sorted Arr Id],SMALL(IF(LEN(TRIM(tblData[Surname]))*(tblData[Arr DateTime]&gt;0),ROW(tblData[Sorted Arr Id])-ROW(tblData[[#Headers],[Sorted Arr Id]])),ROWS(tblData[[#Headers],[Sorted Arr Id]]:tblData[[#This Row],[Sorted Arr Id]])-1)))</f>
        <v/>
      </c>
      <c r="CA106" s="6" t="str">
        <f>IF(ROWS(tblArrivalSorted[[#Headers],[Id]]:tblArrivalSorted[[#This Row],[Id]])-1&gt;$CA$11,"",SMALL(tblArrival[Id],ROWS(tblArrivalSorted[[#Headers],[Id]]:tblArrivalSorted[[#This Row],[Id]])-1))</f>
        <v/>
      </c>
      <c r="CC106" s="6" t="str">
        <f t="array" ref="CC106">IF(ROWS(tblData[[#Headers],[Sorted Dep Id]]:tblData[[#This Row],[Sorted Dep Id]])-1&gt;$CC$11,"",INDEX(tblData[Sorted Dep Id],SMALL(IF(LEN(TRIM(tblData[Surname]))*(tblData[Dep DateTime]&gt;0),ROW(tblData[Sorted Dep Id])-ROW(tblData[[#Headers],[Sorted Dep Id]])),ROWS(tblData[[#Headers],[Sorted Dep Id]]:tblData[[#This Row],[Sorted Dep Id]])-1)))</f>
        <v/>
      </c>
      <c r="CE106" s="6" t="str">
        <f>IF(ROWS(tblDepartureSorted[[#Headers],[Id]]:tblDepartureSorted[[#This Row],[Id]])-1&gt;$CE$11,"",SMALL(tblDeparture[Id],ROWS(tblDepartureSorted[[#Headers],[Id]]:tblDepartureSorted[[#This Row],[Id]])-1))</f>
        <v/>
      </c>
      <c r="CG106" s="6" t="str">
        <f t="array" ref="CG106">IF(ROWS(tblData[[#Headers],[Id]]:tblData[[#This Row],[Id]])-1&gt;$CG$11,"",INDEX(tblData[Id],SMALL(IF(LEN(TRIM(tblData[Surname])),ROW(tblData[Id])-ROW(tblData[[#Headers],[Id]])),ROWS(tblData[[#Headers],[Id]]:tblData[[#This Row],[Id]])-1)))</f>
        <v/>
      </c>
    </row>
    <row r="107" spans="1:85" s="6" customFormat="1">
      <c r="A107" s="14">
        <f>IF(ISNUMBER(tblData[[#This Row],[SubType2]]),tblData[[#This Row],[SubType2]]*10000+tblData[[#This Row],[No]],1000000+tblData[[#This Row],[No]])</f>
        <v>1000094</v>
      </c>
      <c r="B107" s="14">
        <f>IFERROR(tblData[[#This Row],[Surname Rang]]*1000+tblData[[#This Row],[Given Name Rang]]+tblData[[#This Row],[No]]/1000,"")</f>
        <v>9.4E-2</v>
      </c>
      <c r="C107" s="14">
        <f>IFERROR(tblData[[#This Row],[Arr DateTime Rang]]+tblData[[#This Row],[No]]/1000,"")</f>
        <v>110.09399999999999</v>
      </c>
      <c r="D107" s="14">
        <f>IFERROR(tblData[[#This Row],[Dep DateTime Rang]]+tblData[[#This Row],[No]]/1000,"")</f>
        <v>110.09399999999999</v>
      </c>
      <c r="E107" s="362">
        <f t="shared" ref="E107:E123" si="2">E106+1</f>
        <v>94</v>
      </c>
      <c r="F107" s="370"/>
      <c r="G107" s="331"/>
      <c r="H107" s="328"/>
      <c r="I107" s="329"/>
      <c r="J107" s="330"/>
      <c r="K107" s="369"/>
      <c r="L107" s="375"/>
      <c r="M107" s="331"/>
      <c r="N107" s="331"/>
      <c r="O107" s="331"/>
      <c r="P107" s="329"/>
      <c r="Q107" s="376"/>
      <c r="R107" s="383"/>
      <c r="S107" s="332"/>
      <c r="T107" s="331"/>
      <c r="U107" s="333"/>
      <c r="V107" s="333"/>
      <c r="W107" s="384"/>
      <c r="X107" s="383"/>
      <c r="Y107" s="332"/>
      <c r="Z107" s="331"/>
      <c r="AA107" s="331"/>
      <c r="AB107" s="333"/>
      <c r="AC107" s="384"/>
      <c r="AD107" s="375"/>
      <c r="AE107" s="369"/>
      <c r="AF107" s="397"/>
      <c r="AG107" s="328"/>
      <c r="AH107" s="328"/>
      <c r="AI107" s="328"/>
      <c r="AJ107" s="328"/>
      <c r="AK107" s="328"/>
      <c r="AL107" s="328"/>
      <c r="AM107" s="328"/>
      <c r="AN107" s="398"/>
      <c r="AO107" s="402" t="str">
        <f>IF(ISBLANK(tblData[[#This Row],[Surname]]),"",IF(tblData[[#This Row],[Bill Accred Fee]]=0,"NO","YES"))</f>
        <v/>
      </c>
      <c r="AP107" s="406">
        <f>IF(AND(NOT(ISBLANK(tblData[[#This Row],[Surname]])),COUNTA(tblData[[#This Row],[Day 1]:[Day 9]])=0),1,0)</f>
        <v>0</v>
      </c>
      <c r="AQ107" s="406">
        <f>IF(AND(NOT(ISBLANK(tblData[[#This Row],[Surname]])),tblData[[#This Row],[Position]]="Athlete"),1,0)</f>
        <v>0</v>
      </c>
      <c r="AR107" s="433">
        <f>EntryFee*tblData[[#This Row],[Entry Fee Billable]]</f>
        <v>0</v>
      </c>
      <c r="AS107" s="410" t="e">
        <f>IF(ISBLANK(SelectedCategory),"No Cat!",IF(ISBLANK($F107),0,IFERROR(VLOOKUP(AS$12&amp;", "&amp;tblData[[#This Row],[Day 1]],tblAccommodationCosts[],5,FALSE),0)+IFERROR(VLOOKUP(AS$12&amp;", "&amp;tblData[[#This Row],[Day 2]],tblAccommodationCosts[],5,FALSE),0)+IFERROR(VLOOKUP(AS$12&amp;", "&amp;tblData[[#This Row],[Day 3]],tblAccommodationCosts[],5,FALSE),0)+IFERROR(VLOOKUP(AS$12&amp;", "&amp;tblData[[#This Row],[Day 4]],tblAccommodationCosts[],5,FALSE),0)+IFERROR(VLOOKUP(AS$12&amp;", "&amp;tblData[[#This Row],[Day 5]],tblAccommodationCosts[],5,FALSE),0)+IFERROR(VLOOKUP(AS$12&amp;", "&amp;tblData[[#This Row],[Day 6]],tblAccommodationCosts[],5,FALSE),0)+IFERROR(VLOOKUP(AS$12&amp;", "&amp;tblData[[#This Row],[Day 7]],tblAccommodationCosts[],5,FALSE),0)+IFERROR(VLOOKUP(AS$12&amp;", "&amp;tblData[[#This Row],[Day 8]],tblAccommodationCosts[],5,FALSE),0)+IFERROR(VLOOKUP(AS$12&amp;", "&amp;tblData[[#This Row],[Day 9]],tblAccommodationCosts[],5,FALSE),0)+AccreditationFee*tblData[[#This Row],[Bill Accred Fee]]))+tblData[[#This Row],[Entry Fee]]</f>
        <v>#VALUE!</v>
      </c>
      <c r="AT107" s="324" t="str">
        <f>IFERROR(VLOOKUP(tblData[[#This Row],[Weight Category, Function, and Gender]],tblWeightOrFunction[],3,0),"")</f>
        <v/>
      </c>
      <c r="AU107" s="84" t="str">
        <f>IFERROR(VLOOKUP(tblData[[#This Row],[Weight Category, Function, and Gender]],tblWeightOrFunction[],4,0),"")</f>
        <v/>
      </c>
      <c r="AV107" s="85" t="str">
        <f>IFERROR(VLOOKUP(tblData[[#This Row],[Weight Category, Function, and Gender]],tblWeightOrFunction[],7,0),"")</f>
        <v/>
      </c>
      <c r="AW107" s="84" t="str">
        <f>IFERROR(VLOOKUP(tblData[[#This Row],[Weight Category, Function, and Gender]],tblWeightOrFunction[],6,0),"")</f>
        <v/>
      </c>
      <c r="AX107" s="84" t="str">
        <f>IFERROR(VLOOKUP(tblData[[#This Row],[Weight Category, Function, and Gender]],tblWeightOrFunction[],2,0),"")</f>
        <v/>
      </c>
      <c r="AY107" s="75">
        <f>tblData[[#This Row],[Arr Date]]+tblData[[#This Row],[Arr Time]]</f>
        <v>0</v>
      </c>
      <c r="AZ107" s="75">
        <f>tblData[[#This Row],[Dep Date]]+tblData[[#This Row],[Dep Time]]</f>
        <v>0</v>
      </c>
      <c r="BA107" s="72">
        <f>COUNTIF(tblData[Surname],"&lt;="&amp;tblData[Surname])</f>
        <v>0</v>
      </c>
      <c r="BB107" s="72">
        <f>COUNTIF(tblData[Given name],"&lt;="&amp;tblData[Given name])</f>
        <v>0</v>
      </c>
      <c r="BC107" s="72">
        <f>COUNTIF(tblData[Arr DateTime],"&lt;="&amp;tblData[Arr DateTime])</f>
        <v>110</v>
      </c>
      <c r="BD107" s="72">
        <f>COUNTIF(tblData[Dep DateTime],"&lt;="&amp;tblData[Dep DateTime])</f>
        <v>110</v>
      </c>
      <c r="BE107" s="72">
        <f>COUNTIF(tblData[ShuttleAtDeparture],"&lt;="&amp;tblData[ShuttleAtDeparture])</f>
        <v>0</v>
      </c>
      <c r="BI107" s="6" t="str">
        <f t="array" ref="BI107">IF(ROWS(tblData[[#Headers],[Id]]:tblData[[#This Row],[Id]])-1&gt;$BI$11,"",INDEX(tblData[Id],SMALL(IF(LEN(TRIM(tblData[Surname]))*((tblData[Type]=$BI$9)+(tblData[Type]=$BI$10)),ROW(tblData[Id])-ROW(tblData[[#Headers],[Id]])),ROWS(tblData[[#Headers],[Id]]:tblData[[#This Row],[Id]])-1)))</f>
        <v/>
      </c>
      <c r="BK107" s="6" t="str">
        <f>IF(ROWS(tblCoachesAndOfficialsSorted[[#Headers],[Id]]:tblCoachesAndOfficialsSorted[[#This Row],[Id]])-1&gt;$BK$11,"",SMALL(tblCoachesAndOfficials[Id],ROWS(tblCoachesAndOfficialsSorted[[#Headers],[Id]]:tblCoachesAndOfficialsSorted[[#This Row],[Id]])-1))</f>
        <v/>
      </c>
      <c r="BM107" s="6" t="str">
        <f t="array" ref="BM107">IF(ROWS(tblData[[#Headers],[Id]]:tblData[[#This Row],[Id]])-1&gt;$BM$11,"",INDEX(tblData[Id],SMALL(IF(LEN(TRIM(tblData[Surname]))*(tblData[Type]=$BM$9),ROW(tblData[Id])-ROW(tblData[[#Headers],[Id]])),ROWS(tblData[[#Headers],[Id]]:tblData[[#This Row],[Id]])-1)))</f>
        <v/>
      </c>
      <c r="BO107" s="6" t="str">
        <f>IF(ROWS(tblWomenSorted[[#Headers],[Id]]:tblWomenSorted[[#This Row],[Id]])-1&gt;$BO$11,"",SMALL(tblWomen[Id],ROWS(tblWomenSorted[[#Headers],[Id]]:tblWomenSorted[[#This Row],[Id]])-1))</f>
        <v/>
      </c>
      <c r="BP107" s="17"/>
      <c r="BQ107" s="6" t="str">
        <f t="array" ref="BQ107">IF(ROWS(tblData[[#Headers],[Id]]:tblData[[#This Row],[Id]])-1&gt;$BQ$11,"",INDEX(tblData[Id],SMALL(IF(LEN(TRIM(tblData[Surname]))*(tblData[Type]=$BQ$9),ROW(tblData[Id])-ROW(tblData[[#Headers],[Id]])),ROWS(tblData[[#Headers],[Id]]:tblData[[#This Row],[Id]])-1)))</f>
        <v/>
      </c>
      <c r="BS107" s="6" t="str">
        <f>IF(ROWS(tblMenSorted[[#Headers],[Id]]:tblMenSorted[[#This Row],[Id]])-1&gt;$BS$11,"",SMALL(tblMen[Id],ROWS(tblMenSorted[[#Headers],[Id]]:tblMenSorted[[#This Row],[Id]])-1))</f>
        <v/>
      </c>
      <c r="BU107" s="6" t="str">
        <f t="array" ref="BU107">IF(ROWS(tblData[[#Headers],[Sorted Name Id]]:tblData[[#This Row],[Sorted Name Id]])-1&gt;$BU$11,"",INDEX(tblData[Sorted Name Id],SMALL(IF(LEN(TRIM(tblData[Surname]))*(tblData[Visa required]="YES"),ROW(tblData[Sorted Name Id])-ROW(tblData[[#Headers],[Sorted Name Id]])),ROWS(tblData[[#Headers],[Sorted Name Id]]:tblData[[#This Row],[Sorted Name Id]])-1)))</f>
        <v/>
      </c>
      <c r="BW107" s="6" t="str">
        <f>IF(ROWS(tblVisasSorted[[#Headers],[Id]]:tblVisasSorted[[#This Row],[Id]])-1&gt;$BW$11,"",SMALL(tblVisas[Id],ROWS(tblVisasSorted[[#Headers],[Id]]:tblVisasSorted[[#This Row],[Id]])-1))</f>
        <v/>
      </c>
      <c r="BY107" s="6" t="str">
        <f t="array" ref="BY107">IF(ROWS(tblData[[#Headers],[Sorted Arr Id]]:tblData[[#This Row],[Sorted Arr Id]])-1&gt;$BY$11,"",INDEX(tblData[Sorted Arr Id],SMALL(IF(LEN(TRIM(tblData[Surname]))*(tblData[Arr DateTime]&gt;0),ROW(tblData[Sorted Arr Id])-ROW(tblData[[#Headers],[Sorted Arr Id]])),ROWS(tblData[[#Headers],[Sorted Arr Id]]:tblData[[#This Row],[Sorted Arr Id]])-1)))</f>
        <v/>
      </c>
      <c r="CA107" s="6" t="str">
        <f>IF(ROWS(tblArrivalSorted[[#Headers],[Id]]:tblArrivalSorted[[#This Row],[Id]])-1&gt;$CA$11,"",SMALL(tblArrival[Id],ROWS(tblArrivalSorted[[#Headers],[Id]]:tblArrivalSorted[[#This Row],[Id]])-1))</f>
        <v/>
      </c>
      <c r="CC107" s="6" t="str">
        <f t="array" ref="CC107">IF(ROWS(tblData[[#Headers],[Sorted Dep Id]]:tblData[[#This Row],[Sorted Dep Id]])-1&gt;$CC$11,"",INDEX(tblData[Sorted Dep Id],SMALL(IF(LEN(TRIM(tblData[Surname]))*(tblData[Dep DateTime]&gt;0),ROW(tblData[Sorted Dep Id])-ROW(tblData[[#Headers],[Sorted Dep Id]])),ROWS(tblData[[#Headers],[Sorted Dep Id]]:tblData[[#This Row],[Sorted Dep Id]])-1)))</f>
        <v/>
      </c>
      <c r="CE107" s="6" t="str">
        <f>IF(ROWS(tblDepartureSorted[[#Headers],[Id]]:tblDepartureSorted[[#This Row],[Id]])-1&gt;$CE$11,"",SMALL(tblDeparture[Id],ROWS(tblDepartureSorted[[#Headers],[Id]]:tblDepartureSorted[[#This Row],[Id]])-1))</f>
        <v/>
      </c>
      <c r="CG107" s="6" t="str">
        <f t="array" ref="CG107">IF(ROWS(tblData[[#Headers],[Id]]:tblData[[#This Row],[Id]])-1&gt;$CG$11,"",INDEX(tblData[Id],SMALL(IF(LEN(TRIM(tblData[Surname])),ROW(tblData[Id])-ROW(tblData[[#Headers],[Id]])),ROWS(tblData[[#Headers],[Id]]:tblData[[#This Row],[Id]])-1)))</f>
        <v/>
      </c>
    </row>
    <row r="108" spans="1:85" s="6" customFormat="1">
      <c r="A108" s="14">
        <f>IF(ISNUMBER(tblData[[#This Row],[SubType2]]),tblData[[#This Row],[SubType2]]*10000+tblData[[#This Row],[No]],1000000+tblData[[#This Row],[No]])</f>
        <v>1000095</v>
      </c>
      <c r="B108" s="14">
        <f>IFERROR(tblData[[#This Row],[Surname Rang]]*1000+tblData[[#This Row],[Given Name Rang]]+tblData[[#This Row],[No]]/1000,"")</f>
        <v>9.5000000000000001E-2</v>
      </c>
      <c r="C108" s="14">
        <f>IFERROR(tblData[[#This Row],[Arr DateTime Rang]]+tblData[[#This Row],[No]]/1000,"")</f>
        <v>110.095</v>
      </c>
      <c r="D108" s="14">
        <f>IFERROR(tblData[[#This Row],[Dep DateTime Rang]]+tblData[[#This Row],[No]]/1000,"")</f>
        <v>110.095</v>
      </c>
      <c r="E108" s="362">
        <f t="shared" si="2"/>
        <v>95</v>
      </c>
      <c r="F108" s="370"/>
      <c r="G108" s="331"/>
      <c r="H108" s="328"/>
      <c r="I108" s="329"/>
      <c r="J108" s="330"/>
      <c r="K108" s="369"/>
      <c r="L108" s="375"/>
      <c r="M108" s="331"/>
      <c r="N108" s="331"/>
      <c r="O108" s="331"/>
      <c r="P108" s="329"/>
      <c r="Q108" s="376"/>
      <c r="R108" s="383"/>
      <c r="S108" s="332"/>
      <c r="T108" s="331"/>
      <c r="U108" s="333"/>
      <c r="V108" s="333"/>
      <c r="W108" s="384"/>
      <c r="X108" s="383"/>
      <c r="Y108" s="332"/>
      <c r="Z108" s="331"/>
      <c r="AA108" s="331"/>
      <c r="AB108" s="333"/>
      <c r="AC108" s="384"/>
      <c r="AD108" s="375"/>
      <c r="AE108" s="369"/>
      <c r="AF108" s="397"/>
      <c r="AG108" s="328"/>
      <c r="AH108" s="328"/>
      <c r="AI108" s="328"/>
      <c r="AJ108" s="328"/>
      <c r="AK108" s="328"/>
      <c r="AL108" s="328"/>
      <c r="AM108" s="328"/>
      <c r="AN108" s="398"/>
      <c r="AO108" s="402" t="str">
        <f>IF(ISBLANK(tblData[[#This Row],[Surname]]),"",IF(tblData[[#This Row],[Bill Accred Fee]]=0,"NO","YES"))</f>
        <v/>
      </c>
      <c r="AP108" s="406">
        <f>IF(AND(NOT(ISBLANK(tblData[[#This Row],[Surname]])),COUNTA(tblData[[#This Row],[Day 1]:[Day 9]])=0),1,0)</f>
        <v>0</v>
      </c>
      <c r="AQ108" s="406">
        <f>IF(AND(NOT(ISBLANK(tblData[[#This Row],[Surname]])),tblData[[#This Row],[Position]]="Athlete"),1,0)</f>
        <v>0</v>
      </c>
      <c r="AR108" s="433">
        <f>EntryFee*tblData[[#This Row],[Entry Fee Billable]]</f>
        <v>0</v>
      </c>
      <c r="AS108" s="410" t="e">
        <f>IF(ISBLANK(SelectedCategory),"No Cat!",IF(ISBLANK($F108),0,IFERROR(VLOOKUP(AS$12&amp;", "&amp;tblData[[#This Row],[Day 1]],tblAccommodationCosts[],5,FALSE),0)+IFERROR(VLOOKUP(AS$12&amp;", "&amp;tblData[[#This Row],[Day 2]],tblAccommodationCosts[],5,FALSE),0)+IFERROR(VLOOKUP(AS$12&amp;", "&amp;tblData[[#This Row],[Day 3]],tblAccommodationCosts[],5,FALSE),0)+IFERROR(VLOOKUP(AS$12&amp;", "&amp;tblData[[#This Row],[Day 4]],tblAccommodationCosts[],5,FALSE),0)+IFERROR(VLOOKUP(AS$12&amp;", "&amp;tblData[[#This Row],[Day 5]],tblAccommodationCosts[],5,FALSE),0)+IFERROR(VLOOKUP(AS$12&amp;", "&amp;tblData[[#This Row],[Day 6]],tblAccommodationCosts[],5,FALSE),0)+IFERROR(VLOOKUP(AS$12&amp;", "&amp;tblData[[#This Row],[Day 7]],tblAccommodationCosts[],5,FALSE),0)+IFERROR(VLOOKUP(AS$12&amp;", "&amp;tblData[[#This Row],[Day 8]],tblAccommodationCosts[],5,FALSE),0)+IFERROR(VLOOKUP(AS$12&amp;", "&amp;tblData[[#This Row],[Day 9]],tblAccommodationCosts[],5,FALSE),0)+AccreditationFee*tblData[[#This Row],[Bill Accred Fee]]))+tblData[[#This Row],[Entry Fee]]</f>
        <v>#VALUE!</v>
      </c>
      <c r="AT108" s="324" t="str">
        <f>IFERROR(VLOOKUP(tblData[[#This Row],[Weight Category, Function, and Gender]],tblWeightOrFunction[],3,0),"")</f>
        <v/>
      </c>
      <c r="AU108" s="84" t="str">
        <f>IFERROR(VLOOKUP(tblData[[#This Row],[Weight Category, Function, and Gender]],tblWeightOrFunction[],4,0),"")</f>
        <v/>
      </c>
      <c r="AV108" s="85" t="str">
        <f>IFERROR(VLOOKUP(tblData[[#This Row],[Weight Category, Function, and Gender]],tblWeightOrFunction[],7,0),"")</f>
        <v/>
      </c>
      <c r="AW108" s="84" t="str">
        <f>IFERROR(VLOOKUP(tblData[[#This Row],[Weight Category, Function, and Gender]],tblWeightOrFunction[],6,0),"")</f>
        <v/>
      </c>
      <c r="AX108" s="84" t="str">
        <f>IFERROR(VLOOKUP(tblData[[#This Row],[Weight Category, Function, and Gender]],tblWeightOrFunction[],2,0),"")</f>
        <v/>
      </c>
      <c r="AY108" s="75">
        <f>tblData[[#This Row],[Arr Date]]+tblData[[#This Row],[Arr Time]]</f>
        <v>0</v>
      </c>
      <c r="AZ108" s="75">
        <f>tblData[[#This Row],[Dep Date]]+tblData[[#This Row],[Dep Time]]</f>
        <v>0</v>
      </c>
      <c r="BA108" s="72">
        <f>COUNTIF(tblData[Surname],"&lt;="&amp;tblData[Surname])</f>
        <v>0</v>
      </c>
      <c r="BB108" s="72">
        <f>COUNTIF(tblData[Given name],"&lt;="&amp;tblData[Given name])</f>
        <v>0</v>
      </c>
      <c r="BC108" s="72">
        <f>COUNTIF(tblData[Arr DateTime],"&lt;="&amp;tblData[Arr DateTime])</f>
        <v>110</v>
      </c>
      <c r="BD108" s="72">
        <f>COUNTIF(tblData[Dep DateTime],"&lt;="&amp;tblData[Dep DateTime])</f>
        <v>110</v>
      </c>
      <c r="BE108" s="72">
        <f>COUNTIF(tblData[ShuttleAtDeparture],"&lt;="&amp;tblData[ShuttleAtDeparture])</f>
        <v>0</v>
      </c>
      <c r="BI108" s="6" t="str">
        <f t="array" ref="BI108">IF(ROWS(tblData[[#Headers],[Id]]:tblData[[#This Row],[Id]])-1&gt;$BI$11,"",INDEX(tblData[Id],SMALL(IF(LEN(TRIM(tblData[Surname]))*((tblData[Type]=$BI$9)+(tblData[Type]=$BI$10)),ROW(tblData[Id])-ROW(tblData[[#Headers],[Id]])),ROWS(tblData[[#Headers],[Id]]:tblData[[#This Row],[Id]])-1)))</f>
        <v/>
      </c>
      <c r="BK108" s="6" t="str">
        <f>IF(ROWS(tblCoachesAndOfficialsSorted[[#Headers],[Id]]:tblCoachesAndOfficialsSorted[[#This Row],[Id]])-1&gt;$BK$11,"",SMALL(tblCoachesAndOfficials[Id],ROWS(tblCoachesAndOfficialsSorted[[#Headers],[Id]]:tblCoachesAndOfficialsSorted[[#This Row],[Id]])-1))</f>
        <v/>
      </c>
      <c r="BM108" s="6" t="str">
        <f t="array" ref="BM108">IF(ROWS(tblData[[#Headers],[Id]]:tblData[[#This Row],[Id]])-1&gt;$BM$11,"",INDEX(tblData[Id],SMALL(IF(LEN(TRIM(tblData[Surname]))*(tblData[Type]=$BM$9),ROW(tblData[Id])-ROW(tblData[[#Headers],[Id]])),ROWS(tblData[[#Headers],[Id]]:tblData[[#This Row],[Id]])-1)))</f>
        <v/>
      </c>
      <c r="BO108" s="6" t="str">
        <f>IF(ROWS(tblWomenSorted[[#Headers],[Id]]:tblWomenSorted[[#This Row],[Id]])-1&gt;$BO$11,"",SMALL(tblWomen[Id],ROWS(tblWomenSorted[[#Headers],[Id]]:tblWomenSorted[[#This Row],[Id]])-1))</f>
        <v/>
      </c>
      <c r="BP108" s="17"/>
      <c r="BQ108" s="6" t="str">
        <f t="array" ref="BQ108">IF(ROWS(tblData[[#Headers],[Id]]:tblData[[#This Row],[Id]])-1&gt;$BQ$11,"",INDEX(tblData[Id],SMALL(IF(LEN(TRIM(tblData[Surname]))*(tblData[Type]=$BQ$9),ROW(tblData[Id])-ROW(tblData[[#Headers],[Id]])),ROWS(tblData[[#Headers],[Id]]:tblData[[#This Row],[Id]])-1)))</f>
        <v/>
      </c>
      <c r="BS108" s="6" t="str">
        <f>IF(ROWS(tblMenSorted[[#Headers],[Id]]:tblMenSorted[[#This Row],[Id]])-1&gt;$BS$11,"",SMALL(tblMen[Id],ROWS(tblMenSorted[[#Headers],[Id]]:tblMenSorted[[#This Row],[Id]])-1))</f>
        <v/>
      </c>
      <c r="BU108" s="6" t="str">
        <f t="array" ref="BU108">IF(ROWS(tblData[[#Headers],[Sorted Name Id]]:tblData[[#This Row],[Sorted Name Id]])-1&gt;$BU$11,"",INDEX(tblData[Sorted Name Id],SMALL(IF(LEN(TRIM(tblData[Surname]))*(tblData[Visa required]="YES"),ROW(tblData[Sorted Name Id])-ROW(tblData[[#Headers],[Sorted Name Id]])),ROWS(tblData[[#Headers],[Sorted Name Id]]:tblData[[#This Row],[Sorted Name Id]])-1)))</f>
        <v/>
      </c>
      <c r="BW108" s="6" t="str">
        <f>IF(ROWS(tblVisasSorted[[#Headers],[Id]]:tblVisasSorted[[#This Row],[Id]])-1&gt;$BW$11,"",SMALL(tblVisas[Id],ROWS(tblVisasSorted[[#Headers],[Id]]:tblVisasSorted[[#This Row],[Id]])-1))</f>
        <v/>
      </c>
      <c r="BY108" s="6" t="str">
        <f t="array" ref="BY108">IF(ROWS(tblData[[#Headers],[Sorted Arr Id]]:tblData[[#This Row],[Sorted Arr Id]])-1&gt;$BY$11,"",INDEX(tblData[Sorted Arr Id],SMALL(IF(LEN(TRIM(tblData[Surname]))*(tblData[Arr DateTime]&gt;0),ROW(tblData[Sorted Arr Id])-ROW(tblData[[#Headers],[Sorted Arr Id]])),ROWS(tblData[[#Headers],[Sorted Arr Id]]:tblData[[#This Row],[Sorted Arr Id]])-1)))</f>
        <v/>
      </c>
      <c r="CA108" s="6" t="str">
        <f>IF(ROWS(tblArrivalSorted[[#Headers],[Id]]:tblArrivalSorted[[#This Row],[Id]])-1&gt;$CA$11,"",SMALL(tblArrival[Id],ROWS(tblArrivalSorted[[#Headers],[Id]]:tblArrivalSorted[[#This Row],[Id]])-1))</f>
        <v/>
      </c>
      <c r="CC108" s="6" t="str">
        <f t="array" ref="CC108">IF(ROWS(tblData[[#Headers],[Sorted Dep Id]]:tblData[[#This Row],[Sorted Dep Id]])-1&gt;$CC$11,"",INDEX(tblData[Sorted Dep Id],SMALL(IF(LEN(TRIM(tblData[Surname]))*(tblData[Dep DateTime]&gt;0),ROW(tblData[Sorted Dep Id])-ROW(tblData[[#Headers],[Sorted Dep Id]])),ROWS(tblData[[#Headers],[Sorted Dep Id]]:tblData[[#This Row],[Sorted Dep Id]])-1)))</f>
        <v/>
      </c>
      <c r="CE108" s="6" t="str">
        <f>IF(ROWS(tblDepartureSorted[[#Headers],[Id]]:tblDepartureSorted[[#This Row],[Id]])-1&gt;$CE$11,"",SMALL(tblDeparture[Id],ROWS(tblDepartureSorted[[#Headers],[Id]]:tblDepartureSorted[[#This Row],[Id]])-1))</f>
        <v/>
      </c>
      <c r="CG108" s="6" t="str">
        <f t="array" ref="CG108">IF(ROWS(tblData[[#Headers],[Id]]:tblData[[#This Row],[Id]])-1&gt;$CG$11,"",INDEX(tblData[Id],SMALL(IF(LEN(TRIM(tblData[Surname])),ROW(tblData[Id])-ROW(tblData[[#Headers],[Id]])),ROWS(tblData[[#Headers],[Id]]:tblData[[#This Row],[Id]])-1)))</f>
        <v/>
      </c>
    </row>
    <row r="109" spans="1:85" s="6" customFormat="1">
      <c r="A109" s="14">
        <f>IF(ISNUMBER(tblData[[#This Row],[SubType2]]),tblData[[#This Row],[SubType2]]*10000+tblData[[#This Row],[No]],1000000+tblData[[#This Row],[No]])</f>
        <v>1000096</v>
      </c>
      <c r="B109" s="14">
        <f>IFERROR(tblData[[#This Row],[Surname Rang]]*1000+tblData[[#This Row],[Given Name Rang]]+tblData[[#This Row],[No]]/1000,"")</f>
        <v>9.6000000000000002E-2</v>
      </c>
      <c r="C109" s="14">
        <f>IFERROR(tblData[[#This Row],[Arr DateTime Rang]]+tblData[[#This Row],[No]]/1000,"")</f>
        <v>110.096</v>
      </c>
      <c r="D109" s="14">
        <f>IFERROR(tblData[[#This Row],[Dep DateTime Rang]]+tblData[[#This Row],[No]]/1000,"")</f>
        <v>110.096</v>
      </c>
      <c r="E109" s="362">
        <f t="shared" si="2"/>
        <v>96</v>
      </c>
      <c r="F109" s="370"/>
      <c r="G109" s="331"/>
      <c r="H109" s="328"/>
      <c r="I109" s="329"/>
      <c r="J109" s="330"/>
      <c r="K109" s="369"/>
      <c r="L109" s="375"/>
      <c r="M109" s="331"/>
      <c r="N109" s="331"/>
      <c r="O109" s="331"/>
      <c r="P109" s="329"/>
      <c r="Q109" s="376"/>
      <c r="R109" s="383"/>
      <c r="S109" s="332"/>
      <c r="T109" s="331"/>
      <c r="U109" s="333"/>
      <c r="V109" s="333"/>
      <c r="W109" s="384"/>
      <c r="X109" s="383"/>
      <c r="Y109" s="332"/>
      <c r="Z109" s="331"/>
      <c r="AA109" s="331"/>
      <c r="AB109" s="333"/>
      <c r="AC109" s="384"/>
      <c r="AD109" s="375"/>
      <c r="AE109" s="369"/>
      <c r="AF109" s="397"/>
      <c r="AG109" s="328"/>
      <c r="AH109" s="328"/>
      <c r="AI109" s="328"/>
      <c r="AJ109" s="328"/>
      <c r="AK109" s="328"/>
      <c r="AL109" s="328"/>
      <c r="AM109" s="328"/>
      <c r="AN109" s="398"/>
      <c r="AO109" s="402" t="str">
        <f>IF(ISBLANK(tblData[[#This Row],[Surname]]),"",IF(tblData[[#This Row],[Bill Accred Fee]]=0,"NO","YES"))</f>
        <v/>
      </c>
      <c r="AP109" s="406">
        <f>IF(AND(NOT(ISBLANK(tblData[[#This Row],[Surname]])),COUNTA(tblData[[#This Row],[Day 1]:[Day 9]])=0),1,0)</f>
        <v>0</v>
      </c>
      <c r="AQ109" s="406">
        <f>IF(AND(NOT(ISBLANK(tblData[[#This Row],[Surname]])),tblData[[#This Row],[Position]]="Athlete"),1,0)</f>
        <v>0</v>
      </c>
      <c r="AR109" s="433">
        <f>EntryFee*tblData[[#This Row],[Entry Fee Billable]]</f>
        <v>0</v>
      </c>
      <c r="AS109" s="410" t="e">
        <f>IF(ISBLANK(SelectedCategory),"No Cat!",IF(ISBLANK($F109),0,IFERROR(VLOOKUP(AS$12&amp;", "&amp;tblData[[#This Row],[Day 1]],tblAccommodationCosts[],5,FALSE),0)+IFERROR(VLOOKUP(AS$12&amp;", "&amp;tblData[[#This Row],[Day 2]],tblAccommodationCosts[],5,FALSE),0)+IFERROR(VLOOKUP(AS$12&amp;", "&amp;tblData[[#This Row],[Day 3]],tblAccommodationCosts[],5,FALSE),0)+IFERROR(VLOOKUP(AS$12&amp;", "&amp;tblData[[#This Row],[Day 4]],tblAccommodationCosts[],5,FALSE),0)+IFERROR(VLOOKUP(AS$12&amp;", "&amp;tblData[[#This Row],[Day 5]],tblAccommodationCosts[],5,FALSE),0)+IFERROR(VLOOKUP(AS$12&amp;", "&amp;tblData[[#This Row],[Day 6]],tblAccommodationCosts[],5,FALSE),0)+IFERROR(VLOOKUP(AS$12&amp;", "&amp;tblData[[#This Row],[Day 7]],tblAccommodationCosts[],5,FALSE),0)+IFERROR(VLOOKUP(AS$12&amp;", "&amp;tblData[[#This Row],[Day 8]],tblAccommodationCosts[],5,FALSE),0)+IFERROR(VLOOKUP(AS$12&amp;", "&amp;tblData[[#This Row],[Day 9]],tblAccommodationCosts[],5,FALSE),0)+AccreditationFee*tblData[[#This Row],[Bill Accred Fee]]))+tblData[[#This Row],[Entry Fee]]</f>
        <v>#VALUE!</v>
      </c>
      <c r="AT109" s="324" t="str">
        <f>IFERROR(VLOOKUP(tblData[[#This Row],[Weight Category, Function, and Gender]],tblWeightOrFunction[],3,0),"")</f>
        <v/>
      </c>
      <c r="AU109" s="84" t="str">
        <f>IFERROR(VLOOKUP(tblData[[#This Row],[Weight Category, Function, and Gender]],tblWeightOrFunction[],4,0),"")</f>
        <v/>
      </c>
      <c r="AV109" s="85" t="str">
        <f>IFERROR(VLOOKUP(tblData[[#This Row],[Weight Category, Function, and Gender]],tblWeightOrFunction[],7,0),"")</f>
        <v/>
      </c>
      <c r="AW109" s="84" t="str">
        <f>IFERROR(VLOOKUP(tblData[[#This Row],[Weight Category, Function, and Gender]],tblWeightOrFunction[],6,0),"")</f>
        <v/>
      </c>
      <c r="AX109" s="84" t="str">
        <f>IFERROR(VLOOKUP(tblData[[#This Row],[Weight Category, Function, and Gender]],tblWeightOrFunction[],2,0),"")</f>
        <v/>
      </c>
      <c r="AY109" s="75">
        <f>tblData[[#This Row],[Arr Date]]+tblData[[#This Row],[Arr Time]]</f>
        <v>0</v>
      </c>
      <c r="AZ109" s="75">
        <f>tblData[[#This Row],[Dep Date]]+tblData[[#This Row],[Dep Time]]</f>
        <v>0</v>
      </c>
      <c r="BA109" s="72">
        <f>COUNTIF(tblData[Surname],"&lt;="&amp;tblData[Surname])</f>
        <v>0</v>
      </c>
      <c r="BB109" s="72">
        <f>COUNTIF(tblData[Given name],"&lt;="&amp;tblData[Given name])</f>
        <v>0</v>
      </c>
      <c r="BC109" s="72">
        <f>COUNTIF(tblData[Arr DateTime],"&lt;="&amp;tblData[Arr DateTime])</f>
        <v>110</v>
      </c>
      <c r="BD109" s="72">
        <f>COUNTIF(tblData[Dep DateTime],"&lt;="&amp;tblData[Dep DateTime])</f>
        <v>110</v>
      </c>
      <c r="BE109" s="72">
        <f>COUNTIF(tblData[ShuttleAtDeparture],"&lt;="&amp;tblData[ShuttleAtDeparture])</f>
        <v>0</v>
      </c>
      <c r="BI109" s="6" t="str">
        <f t="array" ref="BI109">IF(ROWS(tblData[[#Headers],[Id]]:tblData[[#This Row],[Id]])-1&gt;$BI$11,"",INDEX(tblData[Id],SMALL(IF(LEN(TRIM(tblData[Surname]))*((tblData[Type]=$BI$9)+(tblData[Type]=$BI$10)),ROW(tblData[Id])-ROW(tblData[[#Headers],[Id]])),ROWS(tblData[[#Headers],[Id]]:tblData[[#This Row],[Id]])-1)))</f>
        <v/>
      </c>
      <c r="BK109" s="6" t="str">
        <f>IF(ROWS(tblCoachesAndOfficialsSorted[[#Headers],[Id]]:tblCoachesAndOfficialsSorted[[#This Row],[Id]])-1&gt;$BK$11,"",SMALL(tblCoachesAndOfficials[Id],ROWS(tblCoachesAndOfficialsSorted[[#Headers],[Id]]:tblCoachesAndOfficialsSorted[[#This Row],[Id]])-1))</f>
        <v/>
      </c>
      <c r="BM109" s="6" t="str">
        <f t="array" ref="BM109">IF(ROWS(tblData[[#Headers],[Id]]:tblData[[#This Row],[Id]])-1&gt;$BM$11,"",INDEX(tblData[Id],SMALL(IF(LEN(TRIM(tblData[Surname]))*(tblData[Type]=$BM$9),ROW(tblData[Id])-ROW(tblData[[#Headers],[Id]])),ROWS(tblData[[#Headers],[Id]]:tblData[[#This Row],[Id]])-1)))</f>
        <v/>
      </c>
      <c r="BO109" s="6" t="str">
        <f>IF(ROWS(tblWomenSorted[[#Headers],[Id]]:tblWomenSorted[[#This Row],[Id]])-1&gt;$BO$11,"",SMALL(tblWomen[Id],ROWS(tblWomenSorted[[#Headers],[Id]]:tblWomenSorted[[#This Row],[Id]])-1))</f>
        <v/>
      </c>
      <c r="BP109" s="17"/>
      <c r="BQ109" s="6" t="str">
        <f t="array" ref="BQ109">IF(ROWS(tblData[[#Headers],[Id]]:tblData[[#This Row],[Id]])-1&gt;$BQ$11,"",INDEX(tblData[Id],SMALL(IF(LEN(TRIM(tblData[Surname]))*(tblData[Type]=$BQ$9),ROW(tblData[Id])-ROW(tblData[[#Headers],[Id]])),ROWS(tblData[[#Headers],[Id]]:tblData[[#This Row],[Id]])-1)))</f>
        <v/>
      </c>
      <c r="BS109" s="6" t="str">
        <f>IF(ROWS(tblMenSorted[[#Headers],[Id]]:tblMenSorted[[#This Row],[Id]])-1&gt;$BS$11,"",SMALL(tblMen[Id],ROWS(tblMenSorted[[#Headers],[Id]]:tblMenSorted[[#This Row],[Id]])-1))</f>
        <v/>
      </c>
      <c r="BU109" s="6" t="str">
        <f t="array" ref="BU109">IF(ROWS(tblData[[#Headers],[Sorted Name Id]]:tblData[[#This Row],[Sorted Name Id]])-1&gt;$BU$11,"",INDEX(tblData[Sorted Name Id],SMALL(IF(LEN(TRIM(tblData[Surname]))*(tblData[Visa required]="YES"),ROW(tblData[Sorted Name Id])-ROW(tblData[[#Headers],[Sorted Name Id]])),ROWS(tblData[[#Headers],[Sorted Name Id]]:tblData[[#This Row],[Sorted Name Id]])-1)))</f>
        <v/>
      </c>
      <c r="BW109" s="6" t="str">
        <f>IF(ROWS(tblVisasSorted[[#Headers],[Id]]:tblVisasSorted[[#This Row],[Id]])-1&gt;$BW$11,"",SMALL(tblVisas[Id],ROWS(tblVisasSorted[[#Headers],[Id]]:tblVisasSorted[[#This Row],[Id]])-1))</f>
        <v/>
      </c>
      <c r="BY109" s="6" t="str">
        <f t="array" ref="BY109">IF(ROWS(tblData[[#Headers],[Sorted Arr Id]]:tblData[[#This Row],[Sorted Arr Id]])-1&gt;$BY$11,"",INDEX(tblData[Sorted Arr Id],SMALL(IF(LEN(TRIM(tblData[Surname]))*(tblData[Arr DateTime]&gt;0),ROW(tblData[Sorted Arr Id])-ROW(tblData[[#Headers],[Sorted Arr Id]])),ROWS(tblData[[#Headers],[Sorted Arr Id]]:tblData[[#This Row],[Sorted Arr Id]])-1)))</f>
        <v/>
      </c>
      <c r="CA109" s="6" t="str">
        <f>IF(ROWS(tblArrivalSorted[[#Headers],[Id]]:tblArrivalSorted[[#This Row],[Id]])-1&gt;$CA$11,"",SMALL(tblArrival[Id],ROWS(tblArrivalSorted[[#Headers],[Id]]:tblArrivalSorted[[#This Row],[Id]])-1))</f>
        <v/>
      </c>
      <c r="CC109" s="6" t="str">
        <f t="array" ref="CC109">IF(ROWS(tblData[[#Headers],[Sorted Dep Id]]:tblData[[#This Row],[Sorted Dep Id]])-1&gt;$CC$11,"",INDEX(tblData[Sorted Dep Id],SMALL(IF(LEN(TRIM(tblData[Surname]))*(tblData[Dep DateTime]&gt;0),ROW(tblData[Sorted Dep Id])-ROW(tblData[[#Headers],[Sorted Dep Id]])),ROWS(tblData[[#Headers],[Sorted Dep Id]]:tblData[[#This Row],[Sorted Dep Id]])-1)))</f>
        <v/>
      </c>
      <c r="CE109" s="6" t="str">
        <f>IF(ROWS(tblDepartureSorted[[#Headers],[Id]]:tblDepartureSorted[[#This Row],[Id]])-1&gt;$CE$11,"",SMALL(tblDeparture[Id],ROWS(tblDepartureSorted[[#Headers],[Id]]:tblDepartureSorted[[#This Row],[Id]])-1))</f>
        <v/>
      </c>
      <c r="CG109" s="6" t="str">
        <f t="array" ref="CG109">IF(ROWS(tblData[[#Headers],[Id]]:tblData[[#This Row],[Id]])-1&gt;$CG$11,"",INDEX(tblData[Id],SMALL(IF(LEN(TRIM(tblData[Surname])),ROW(tblData[Id])-ROW(tblData[[#Headers],[Id]])),ROWS(tblData[[#Headers],[Id]]:tblData[[#This Row],[Id]])-1)))</f>
        <v/>
      </c>
    </row>
    <row r="110" spans="1:85" s="6" customFormat="1">
      <c r="A110" s="14">
        <f>IF(ISNUMBER(tblData[[#This Row],[SubType2]]),tblData[[#This Row],[SubType2]]*10000+tblData[[#This Row],[No]],1000000+tblData[[#This Row],[No]])</f>
        <v>1000097</v>
      </c>
      <c r="B110" s="14">
        <f>IFERROR(tblData[[#This Row],[Surname Rang]]*1000+tblData[[#This Row],[Given Name Rang]]+tblData[[#This Row],[No]]/1000,"")</f>
        <v>9.7000000000000003E-2</v>
      </c>
      <c r="C110" s="14">
        <f>IFERROR(tblData[[#This Row],[Arr DateTime Rang]]+tblData[[#This Row],[No]]/1000,"")</f>
        <v>110.09699999999999</v>
      </c>
      <c r="D110" s="14">
        <f>IFERROR(tblData[[#This Row],[Dep DateTime Rang]]+tblData[[#This Row],[No]]/1000,"")</f>
        <v>110.09699999999999</v>
      </c>
      <c r="E110" s="362">
        <f t="shared" si="2"/>
        <v>97</v>
      </c>
      <c r="F110" s="370"/>
      <c r="G110" s="331"/>
      <c r="H110" s="328"/>
      <c r="I110" s="329"/>
      <c r="J110" s="330"/>
      <c r="K110" s="369"/>
      <c r="L110" s="375"/>
      <c r="M110" s="327"/>
      <c r="N110" s="327"/>
      <c r="O110" s="327"/>
      <c r="P110" s="329"/>
      <c r="Q110" s="376"/>
      <c r="R110" s="383"/>
      <c r="S110" s="332"/>
      <c r="T110" s="331"/>
      <c r="U110" s="333"/>
      <c r="V110" s="333"/>
      <c r="W110" s="384"/>
      <c r="X110" s="383"/>
      <c r="Y110" s="332"/>
      <c r="Z110" s="331"/>
      <c r="AA110" s="331"/>
      <c r="AB110" s="333"/>
      <c r="AC110" s="384"/>
      <c r="AD110" s="375"/>
      <c r="AE110" s="369"/>
      <c r="AF110" s="397"/>
      <c r="AG110" s="328"/>
      <c r="AH110" s="328"/>
      <c r="AI110" s="328"/>
      <c r="AJ110" s="328"/>
      <c r="AK110" s="328"/>
      <c r="AL110" s="328"/>
      <c r="AM110" s="328"/>
      <c r="AN110" s="398"/>
      <c r="AO110" s="402" t="str">
        <f>IF(ISBLANK(tblData[[#This Row],[Surname]]),"",IF(tblData[[#This Row],[Bill Accred Fee]]=0,"NO","YES"))</f>
        <v/>
      </c>
      <c r="AP110" s="406">
        <f>IF(AND(NOT(ISBLANK(tblData[[#This Row],[Surname]])),COUNTA(tblData[[#This Row],[Day 1]:[Day 9]])=0),1,0)</f>
        <v>0</v>
      </c>
      <c r="AQ110" s="406">
        <f>IF(AND(NOT(ISBLANK(tblData[[#This Row],[Surname]])),tblData[[#This Row],[Position]]="Athlete"),1,0)</f>
        <v>0</v>
      </c>
      <c r="AR110" s="433">
        <f>EntryFee*tblData[[#This Row],[Entry Fee Billable]]</f>
        <v>0</v>
      </c>
      <c r="AS110" s="410" t="e">
        <f>IF(ISBLANK(SelectedCategory),"No Cat!",IF(ISBLANK($F110),0,IFERROR(VLOOKUP(AS$12&amp;", "&amp;tblData[[#This Row],[Day 1]],tblAccommodationCosts[],5,FALSE),0)+IFERROR(VLOOKUP(AS$12&amp;", "&amp;tblData[[#This Row],[Day 2]],tblAccommodationCosts[],5,FALSE),0)+IFERROR(VLOOKUP(AS$12&amp;", "&amp;tblData[[#This Row],[Day 3]],tblAccommodationCosts[],5,FALSE),0)+IFERROR(VLOOKUP(AS$12&amp;", "&amp;tblData[[#This Row],[Day 4]],tblAccommodationCosts[],5,FALSE),0)+IFERROR(VLOOKUP(AS$12&amp;", "&amp;tblData[[#This Row],[Day 5]],tblAccommodationCosts[],5,FALSE),0)+IFERROR(VLOOKUP(AS$12&amp;", "&amp;tblData[[#This Row],[Day 6]],tblAccommodationCosts[],5,FALSE),0)+IFERROR(VLOOKUP(AS$12&amp;", "&amp;tblData[[#This Row],[Day 7]],tblAccommodationCosts[],5,FALSE),0)+IFERROR(VLOOKUP(AS$12&amp;", "&amp;tblData[[#This Row],[Day 8]],tblAccommodationCosts[],5,FALSE),0)+IFERROR(VLOOKUP(AS$12&amp;", "&amp;tblData[[#This Row],[Day 9]],tblAccommodationCosts[],5,FALSE),0)+AccreditationFee*tblData[[#This Row],[Bill Accred Fee]]))+tblData[[#This Row],[Entry Fee]]</f>
        <v>#VALUE!</v>
      </c>
      <c r="AT110" s="324" t="str">
        <f>IFERROR(VLOOKUP(tblData[[#This Row],[Weight Category, Function, and Gender]],tblWeightOrFunction[],3,0),"")</f>
        <v/>
      </c>
      <c r="AU110" s="84" t="str">
        <f>IFERROR(VLOOKUP(tblData[[#This Row],[Weight Category, Function, and Gender]],tblWeightOrFunction[],4,0),"")</f>
        <v/>
      </c>
      <c r="AV110" s="85" t="str">
        <f>IFERROR(VLOOKUP(tblData[[#This Row],[Weight Category, Function, and Gender]],tblWeightOrFunction[],7,0),"")</f>
        <v/>
      </c>
      <c r="AW110" s="84" t="str">
        <f>IFERROR(VLOOKUP(tblData[[#This Row],[Weight Category, Function, and Gender]],tblWeightOrFunction[],6,0),"")</f>
        <v/>
      </c>
      <c r="AX110" s="84" t="str">
        <f>IFERROR(VLOOKUP(tblData[[#This Row],[Weight Category, Function, and Gender]],tblWeightOrFunction[],2,0),"")</f>
        <v/>
      </c>
      <c r="AY110" s="75">
        <f>tblData[[#This Row],[Arr Date]]+tblData[[#This Row],[Arr Time]]</f>
        <v>0</v>
      </c>
      <c r="AZ110" s="75">
        <f>tblData[[#This Row],[Dep Date]]+tblData[[#This Row],[Dep Time]]</f>
        <v>0</v>
      </c>
      <c r="BA110" s="72">
        <f>COUNTIF(tblData[Surname],"&lt;="&amp;tblData[Surname])</f>
        <v>0</v>
      </c>
      <c r="BB110" s="72">
        <f>COUNTIF(tblData[Given name],"&lt;="&amp;tblData[Given name])</f>
        <v>0</v>
      </c>
      <c r="BC110" s="72">
        <f>COUNTIF(tblData[Arr DateTime],"&lt;="&amp;tblData[Arr DateTime])</f>
        <v>110</v>
      </c>
      <c r="BD110" s="72">
        <f>COUNTIF(tblData[Dep DateTime],"&lt;="&amp;tblData[Dep DateTime])</f>
        <v>110</v>
      </c>
      <c r="BE110" s="72">
        <f>COUNTIF(tblData[ShuttleAtDeparture],"&lt;="&amp;tblData[ShuttleAtDeparture])</f>
        <v>0</v>
      </c>
      <c r="BI110" s="6" t="str">
        <f t="array" ref="BI110">IF(ROWS(tblData[[#Headers],[Id]]:tblData[[#This Row],[Id]])-1&gt;$BI$11,"",INDEX(tblData[Id],SMALL(IF(LEN(TRIM(tblData[Surname]))*((tblData[Type]=$BI$9)+(tblData[Type]=$BI$10)),ROW(tblData[Id])-ROW(tblData[[#Headers],[Id]])),ROWS(tblData[[#Headers],[Id]]:tblData[[#This Row],[Id]])-1)))</f>
        <v/>
      </c>
      <c r="BK110" s="6" t="str">
        <f>IF(ROWS(tblCoachesAndOfficialsSorted[[#Headers],[Id]]:tblCoachesAndOfficialsSorted[[#This Row],[Id]])-1&gt;$BK$11,"",SMALL(tblCoachesAndOfficials[Id],ROWS(tblCoachesAndOfficialsSorted[[#Headers],[Id]]:tblCoachesAndOfficialsSorted[[#This Row],[Id]])-1))</f>
        <v/>
      </c>
      <c r="BM110" s="6" t="str">
        <f t="array" ref="BM110">IF(ROWS(tblData[[#Headers],[Id]]:tblData[[#This Row],[Id]])-1&gt;$BM$11,"",INDEX(tblData[Id],SMALL(IF(LEN(TRIM(tblData[Surname]))*(tblData[Type]=$BM$9),ROW(tblData[Id])-ROW(tblData[[#Headers],[Id]])),ROWS(tblData[[#Headers],[Id]]:tblData[[#This Row],[Id]])-1)))</f>
        <v/>
      </c>
      <c r="BO110" s="6" t="str">
        <f>IF(ROWS(tblWomenSorted[[#Headers],[Id]]:tblWomenSorted[[#This Row],[Id]])-1&gt;$BO$11,"",SMALL(tblWomen[Id],ROWS(tblWomenSorted[[#Headers],[Id]]:tblWomenSorted[[#This Row],[Id]])-1))</f>
        <v/>
      </c>
      <c r="BP110" s="17"/>
      <c r="BQ110" s="6" t="str">
        <f t="array" ref="BQ110">IF(ROWS(tblData[[#Headers],[Id]]:tblData[[#This Row],[Id]])-1&gt;$BQ$11,"",INDEX(tblData[Id],SMALL(IF(LEN(TRIM(tblData[Surname]))*(tblData[Type]=$BQ$9),ROW(tblData[Id])-ROW(tblData[[#Headers],[Id]])),ROWS(tblData[[#Headers],[Id]]:tblData[[#This Row],[Id]])-1)))</f>
        <v/>
      </c>
      <c r="BS110" s="6" t="str">
        <f>IF(ROWS(tblMenSorted[[#Headers],[Id]]:tblMenSorted[[#This Row],[Id]])-1&gt;$BS$11,"",SMALL(tblMen[Id],ROWS(tblMenSorted[[#Headers],[Id]]:tblMenSorted[[#This Row],[Id]])-1))</f>
        <v/>
      </c>
      <c r="BU110" s="6" t="str">
        <f t="array" ref="BU110">IF(ROWS(tblData[[#Headers],[Sorted Name Id]]:tblData[[#This Row],[Sorted Name Id]])-1&gt;$BU$11,"",INDEX(tblData[Sorted Name Id],SMALL(IF(LEN(TRIM(tblData[Surname]))*(tblData[Visa required]="YES"),ROW(tblData[Sorted Name Id])-ROW(tblData[[#Headers],[Sorted Name Id]])),ROWS(tblData[[#Headers],[Sorted Name Id]]:tblData[[#This Row],[Sorted Name Id]])-1)))</f>
        <v/>
      </c>
      <c r="BW110" s="6" t="str">
        <f>IF(ROWS(tblVisasSorted[[#Headers],[Id]]:tblVisasSorted[[#This Row],[Id]])-1&gt;$BW$11,"",SMALL(tblVisas[Id],ROWS(tblVisasSorted[[#Headers],[Id]]:tblVisasSorted[[#This Row],[Id]])-1))</f>
        <v/>
      </c>
      <c r="BY110" s="6" t="str">
        <f t="array" ref="BY110">IF(ROWS(tblData[[#Headers],[Sorted Arr Id]]:tblData[[#This Row],[Sorted Arr Id]])-1&gt;$BY$11,"",INDEX(tblData[Sorted Arr Id],SMALL(IF(LEN(TRIM(tblData[Surname]))*(tblData[Arr DateTime]&gt;0),ROW(tblData[Sorted Arr Id])-ROW(tblData[[#Headers],[Sorted Arr Id]])),ROWS(tblData[[#Headers],[Sorted Arr Id]]:tblData[[#This Row],[Sorted Arr Id]])-1)))</f>
        <v/>
      </c>
      <c r="CA110" s="6" t="str">
        <f>IF(ROWS(tblArrivalSorted[[#Headers],[Id]]:tblArrivalSorted[[#This Row],[Id]])-1&gt;$CA$11,"",SMALL(tblArrival[Id],ROWS(tblArrivalSorted[[#Headers],[Id]]:tblArrivalSorted[[#This Row],[Id]])-1))</f>
        <v/>
      </c>
      <c r="CC110" s="6" t="str">
        <f t="array" ref="CC110">IF(ROWS(tblData[[#Headers],[Sorted Dep Id]]:tblData[[#This Row],[Sorted Dep Id]])-1&gt;$CC$11,"",INDEX(tblData[Sorted Dep Id],SMALL(IF(LEN(TRIM(tblData[Surname]))*(tblData[Dep DateTime]&gt;0),ROW(tblData[Sorted Dep Id])-ROW(tblData[[#Headers],[Sorted Dep Id]])),ROWS(tblData[[#Headers],[Sorted Dep Id]]:tblData[[#This Row],[Sorted Dep Id]])-1)))</f>
        <v/>
      </c>
      <c r="CE110" s="6" t="str">
        <f>IF(ROWS(tblDepartureSorted[[#Headers],[Id]]:tblDepartureSorted[[#This Row],[Id]])-1&gt;$CE$11,"",SMALL(tblDeparture[Id],ROWS(tblDepartureSorted[[#Headers],[Id]]:tblDepartureSorted[[#This Row],[Id]])-1))</f>
        <v/>
      </c>
      <c r="CG110" s="6" t="str">
        <f t="array" ref="CG110">IF(ROWS(tblData[[#Headers],[Id]]:tblData[[#This Row],[Id]])-1&gt;$CG$11,"",INDEX(tblData[Id],SMALL(IF(LEN(TRIM(tblData[Surname])),ROW(tblData[Id])-ROW(tblData[[#Headers],[Id]])),ROWS(tblData[[#Headers],[Id]]:tblData[[#This Row],[Id]])-1)))</f>
        <v/>
      </c>
    </row>
    <row r="111" spans="1:85" s="6" customFormat="1">
      <c r="A111" s="14">
        <f>IF(ISNUMBER(tblData[[#This Row],[SubType2]]),tblData[[#This Row],[SubType2]]*10000+tblData[[#This Row],[No]],1000000+tblData[[#This Row],[No]])</f>
        <v>1000098</v>
      </c>
      <c r="B111" s="14">
        <f>IFERROR(tblData[[#This Row],[Surname Rang]]*1000+tblData[[#This Row],[Given Name Rang]]+tblData[[#This Row],[No]]/1000,"")</f>
        <v>9.8000000000000004E-2</v>
      </c>
      <c r="C111" s="14">
        <f>IFERROR(tblData[[#This Row],[Arr DateTime Rang]]+tblData[[#This Row],[No]]/1000,"")</f>
        <v>110.098</v>
      </c>
      <c r="D111" s="14">
        <f>IFERROR(tblData[[#This Row],[Dep DateTime Rang]]+tblData[[#This Row],[No]]/1000,"")</f>
        <v>110.098</v>
      </c>
      <c r="E111" s="362">
        <f t="shared" si="2"/>
        <v>98</v>
      </c>
      <c r="F111" s="370"/>
      <c r="G111" s="331"/>
      <c r="H111" s="328"/>
      <c r="I111" s="329"/>
      <c r="J111" s="330"/>
      <c r="K111" s="369"/>
      <c r="L111" s="375"/>
      <c r="M111" s="331"/>
      <c r="N111" s="331"/>
      <c r="O111" s="331"/>
      <c r="P111" s="329"/>
      <c r="Q111" s="376"/>
      <c r="R111" s="383"/>
      <c r="S111" s="332"/>
      <c r="T111" s="331"/>
      <c r="U111" s="333"/>
      <c r="V111" s="333"/>
      <c r="W111" s="384"/>
      <c r="X111" s="383"/>
      <c r="Y111" s="332"/>
      <c r="Z111" s="331"/>
      <c r="AA111" s="331"/>
      <c r="AB111" s="333"/>
      <c r="AC111" s="384"/>
      <c r="AD111" s="375"/>
      <c r="AE111" s="369"/>
      <c r="AF111" s="397"/>
      <c r="AG111" s="328"/>
      <c r="AH111" s="328"/>
      <c r="AI111" s="328"/>
      <c r="AJ111" s="328"/>
      <c r="AK111" s="328"/>
      <c r="AL111" s="328"/>
      <c r="AM111" s="328"/>
      <c r="AN111" s="398"/>
      <c r="AO111" s="402" t="str">
        <f>IF(ISBLANK(tblData[[#This Row],[Surname]]),"",IF(tblData[[#This Row],[Bill Accred Fee]]=0,"NO","YES"))</f>
        <v/>
      </c>
      <c r="AP111" s="406">
        <f>IF(AND(NOT(ISBLANK(tblData[[#This Row],[Surname]])),COUNTA(tblData[[#This Row],[Day 1]:[Day 9]])=0),1,0)</f>
        <v>0</v>
      </c>
      <c r="AQ111" s="406">
        <f>IF(AND(NOT(ISBLANK(tblData[[#This Row],[Surname]])),tblData[[#This Row],[Position]]="Athlete"),1,0)</f>
        <v>0</v>
      </c>
      <c r="AR111" s="433">
        <f>EntryFee*tblData[[#This Row],[Entry Fee Billable]]</f>
        <v>0</v>
      </c>
      <c r="AS111" s="410" t="e">
        <f>IF(ISBLANK(SelectedCategory),"No Cat!",IF(ISBLANK($F111),0,IFERROR(VLOOKUP(AS$12&amp;", "&amp;tblData[[#This Row],[Day 1]],tblAccommodationCosts[],5,FALSE),0)+IFERROR(VLOOKUP(AS$12&amp;", "&amp;tblData[[#This Row],[Day 2]],tblAccommodationCosts[],5,FALSE),0)+IFERROR(VLOOKUP(AS$12&amp;", "&amp;tblData[[#This Row],[Day 3]],tblAccommodationCosts[],5,FALSE),0)+IFERROR(VLOOKUP(AS$12&amp;", "&amp;tblData[[#This Row],[Day 4]],tblAccommodationCosts[],5,FALSE),0)+IFERROR(VLOOKUP(AS$12&amp;", "&amp;tblData[[#This Row],[Day 5]],tblAccommodationCosts[],5,FALSE),0)+IFERROR(VLOOKUP(AS$12&amp;", "&amp;tblData[[#This Row],[Day 6]],tblAccommodationCosts[],5,FALSE),0)+IFERROR(VLOOKUP(AS$12&amp;", "&amp;tblData[[#This Row],[Day 7]],tblAccommodationCosts[],5,FALSE),0)+IFERROR(VLOOKUP(AS$12&amp;", "&amp;tblData[[#This Row],[Day 8]],tblAccommodationCosts[],5,FALSE),0)+IFERROR(VLOOKUP(AS$12&amp;", "&amp;tblData[[#This Row],[Day 9]],tblAccommodationCosts[],5,FALSE),0)+AccreditationFee*tblData[[#This Row],[Bill Accred Fee]]))+tblData[[#This Row],[Entry Fee]]</f>
        <v>#VALUE!</v>
      </c>
      <c r="AT111" s="324" t="str">
        <f>IFERROR(VLOOKUP(tblData[[#This Row],[Weight Category, Function, and Gender]],tblWeightOrFunction[],3,0),"")</f>
        <v/>
      </c>
      <c r="AU111" s="84" t="str">
        <f>IFERROR(VLOOKUP(tblData[[#This Row],[Weight Category, Function, and Gender]],tblWeightOrFunction[],4,0),"")</f>
        <v/>
      </c>
      <c r="AV111" s="85" t="str">
        <f>IFERROR(VLOOKUP(tblData[[#This Row],[Weight Category, Function, and Gender]],tblWeightOrFunction[],7,0),"")</f>
        <v/>
      </c>
      <c r="AW111" s="84" t="str">
        <f>IFERROR(VLOOKUP(tblData[[#This Row],[Weight Category, Function, and Gender]],tblWeightOrFunction[],6,0),"")</f>
        <v/>
      </c>
      <c r="AX111" s="84" t="str">
        <f>IFERROR(VLOOKUP(tblData[[#This Row],[Weight Category, Function, and Gender]],tblWeightOrFunction[],2,0),"")</f>
        <v/>
      </c>
      <c r="AY111" s="75">
        <f>tblData[[#This Row],[Arr Date]]+tblData[[#This Row],[Arr Time]]</f>
        <v>0</v>
      </c>
      <c r="AZ111" s="75">
        <f>tblData[[#This Row],[Dep Date]]+tblData[[#This Row],[Dep Time]]</f>
        <v>0</v>
      </c>
      <c r="BA111" s="72">
        <f>COUNTIF(tblData[Surname],"&lt;="&amp;tblData[Surname])</f>
        <v>0</v>
      </c>
      <c r="BB111" s="72">
        <f>COUNTIF(tblData[Given name],"&lt;="&amp;tblData[Given name])</f>
        <v>0</v>
      </c>
      <c r="BC111" s="72">
        <f>COUNTIF(tblData[Arr DateTime],"&lt;="&amp;tblData[Arr DateTime])</f>
        <v>110</v>
      </c>
      <c r="BD111" s="72">
        <f>COUNTIF(tblData[Dep DateTime],"&lt;="&amp;tblData[Dep DateTime])</f>
        <v>110</v>
      </c>
      <c r="BE111" s="72">
        <f>COUNTIF(tblData[ShuttleAtDeparture],"&lt;="&amp;tblData[ShuttleAtDeparture])</f>
        <v>0</v>
      </c>
      <c r="BI111" s="6" t="str">
        <f t="array" ref="BI111">IF(ROWS(tblData[[#Headers],[Id]]:tblData[[#This Row],[Id]])-1&gt;$BI$11,"",INDEX(tblData[Id],SMALL(IF(LEN(TRIM(tblData[Surname]))*((tblData[Type]=$BI$9)+(tblData[Type]=$BI$10)),ROW(tblData[Id])-ROW(tblData[[#Headers],[Id]])),ROWS(tblData[[#Headers],[Id]]:tblData[[#This Row],[Id]])-1)))</f>
        <v/>
      </c>
      <c r="BK111" s="6" t="str">
        <f>IF(ROWS(tblCoachesAndOfficialsSorted[[#Headers],[Id]]:tblCoachesAndOfficialsSorted[[#This Row],[Id]])-1&gt;$BK$11,"",SMALL(tblCoachesAndOfficials[Id],ROWS(tblCoachesAndOfficialsSorted[[#Headers],[Id]]:tblCoachesAndOfficialsSorted[[#This Row],[Id]])-1))</f>
        <v/>
      </c>
      <c r="BM111" s="6" t="str">
        <f t="array" ref="BM111">IF(ROWS(tblData[[#Headers],[Id]]:tblData[[#This Row],[Id]])-1&gt;$BM$11,"",INDEX(tblData[Id],SMALL(IF(LEN(TRIM(tblData[Surname]))*(tblData[Type]=$BM$9),ROW(tblData[Id])-ROW(tblData[[#Headers],[Id]])),ROWS(tblData[[#Headers],[Id]]:tblData[[#This Row],[Id]])-1)))</f>
        <v/>
      </c>
      <c r="BO111" s="6" t="str">
        <f>IF(ROWS(tblWomenSorted[[#Headers],[Id]]:tblWomenSorted[[#This Row],[Id]])-1&gt;$BO$11,"",SMALL(tblWomen[Id],ROWS(tblWomenSorted[[#Headers],[Id]]:tblWomenSorted[[#This Row],[Id]])-1))</f>
        <v/>
      </c>
      <c r="BP111" s="17"/>
      <c r="BQ111" s="6" t="str">
        <f t="array" ref="BQ111">IF(ROWS(tblData[[#Headers],[Id]]:tblData[[#This Row],[Id]])-1&gt;$BQ$11,"",INDEX(tblData[Id],SMALL(IF(LEN(TRIM(tblData[Surname]))*(tblData[Type]=$BQ$9),ROW(tblData[Id])-ROW(tblData[[#Headers],[Id]])),ROWS(tblData[[#Headers],[Id]]:tblData[[#This Row],[Id]])-1)))</f>
        <v/>
      </c>
      <c r="BS111" s="6" t="str">
        <f>IF(ROWS(tblMenSorted[[#Headers],[Id]]:tblMenSorted[[#This Row],[Id]])-1&gt;$BS$11,"",SMALL(tblMen[Id],ROWS(tblMenSorted[[#Headers],[Id]]:tblMenSorted[[#This Row],[Id]])-1))</f>
        <v/>
      </c>
      <c r="BU111" s="6" t="str">
        <f t="array" ref="BU111">IF(ROWS(tblData[[#Headers],[Sorted Name Id]]:tblData[[#This Row],[Sorted Name Id]])-1&gt;$BU$11,"",INDEX(tblData[Sorted Name Id],SMALL(IF(LEN(TRIM(tblData[Surname]))*(tblData[Visa required]="YES"),ROW(tblData[Sorted Name Id])-ROW(tblData[[#Headers],[Sorted Name Id]])),ROWS(tblData[[#Headers],[Sorted Name Id]]:tblData[[#This Row],[Sorted Name Id]])-1)))</f>
        <v/>
      </c>
      <c r="BW111" s="6" t="str">
        <f>IF(ROWS(tblVisasSorted[[#Headers],[Id]]:tblVisasSorted[[#This Row],[Id]])-1&gt;$BW$11,"",SMALL(tblVisas[Id],ROWS(tblVisasSorted[[#Headers],[Id]]:tblVisasSorted[[#This Row],[Id]])-1))</f>
        <v/>
      </c>
      <c r="BY111" s="6" t="str">
        <f t="array" ref="BY111">IF(ROWS(tblData[[#Headers],[Sorted Arr Id]]:tblData[[#This Row],[Sorted Arr Id]])-1&gt;$BY$11,"",INDEX(tblData[Sorted Arr Id],SMALL(IF(LEN(TRIM(tblData[Surname]))*(tblData[Arr DateTime]&gt;0),ROW(tblData[Sorted Arr Id])-ROW(tblData[[#Headers],[Sorted Arr Id]])),ROWS(tblData[[#Headers],[Sorted Arr Id]]:tblData[[#This Row],[Sorted Arr Id]])-1)))</f>
        <v/>
      </c>
      <c r="CA111" s="6" t="str">
        <f>IF(ROWS(tblArrivalSorted[[#Headers],[Id]]:tblArrivalSorted[[#This Row],[Id]])-1&gt;$CA$11,"",SMALL(tblArrival[Id],ROWS(tblArrivalSorted[[#Headers],[Id]]:tblArrivalSorted[[#This Row],[Id]])-1))</f>
        <v/>
      </c>
      <c r="CC111" s="6" t="str">
        <f t="array" ref="CC111">IF(ROWS(tblData[[#Headers],[Sorted Dep Id]]:tblData[[#This Row],[Sorted Dep Id]])-1&gt;$CC$11,"",INDEX(tblData[Sorted Dep Id],SMALL(IF(LEN(TRIM(tblData[Surname]))*(tblData[Dep DateTime]&gt;0),ROW(tblData[Sorted Dep Id])-ROW(tblData[[#Headers],[Sorted Dep Id]])),ROWS(tblData[[#Headers],[Sorted Dep Id]]:tblData[[#This Row],[Sorted Dep Id]])-1)))</f>
        <v/>
      </c>
      <c r="CE111" s="6" t="str">
        <f>IF(ROWS(tblDepartureSorted[[#Headers],[Id]]:tblDepartureSorted[[#This Row],[Id]])-1&gt;$CE$11,"",SMALL(tblDeparture[Id],ROWS(tblDepartureSorted[[#Headers],[Id]]:tblDepartureSorted[[#This Row],[Id]])-1))</f>
        <v/>
      </c>
      <c r="CG111" s="6" t="str">
        <f t="array" ref="CG111">IF(ROWS(tblData[[#Headers],[Id]]:tblData[[#This Row],[Id]])-1&gt;$CG$11,"",INDEX(tblData[Id],SMALL(IF(LEN(TRIM(tblData[Surname])),ROW(tblData[Id])-ROW(tblData[[#Headers],[Id]])),ROWS(tblData[[#Headers],[Id]]:tblData[[#This Row],[Id]])-1)))</f>
        <v/>
      </c>
    </row>
    <row r="112" spans="1:85" s="6" customFormat="1">
      <c r="A112" s="14">
        <f>IF(ISNUMBER(tblData[[#This Row],[SubType2]]),tblData[[#This Row],[SubType2]]*10000+tblData[[#This Row],[No]],1000000+tblData[[#This Row],[No]])</f>
        <v>1000099</v>
      </c>
      <c r="B112" s="14">
        <f>IFERROR(tblData[[#This Row],[Surname Rang]]*1000+tblData[[#This Row],[Given Name Rang]]+tblData[[#This Row],[No]]/1000,"")</f>
        <v>9.9000000000000005E-2</v>
      </c>
      <c r="C112" s="14">
        <f>IFERROR(tblData[[#This Row],[Arr DateTime Rang]]+tblData[[#This Row],[No]]/1000,"")</f>
        <v>110.099</v>
      </c>
      <c r="D112" s="14">
        <f>IFERROR(tblData[[#This Row],[Dep DateTime Rang]]+tblData[[#This Row],[No]]/1000,"")</f>
        <v>110.099</v>
      </c>
      <c r="E112" s="362">
        <f t="shared" si="2"/>
        <v>99</v>
      </c>
      <c r="F112" s="370"/>
      <c r="G112" s="331"/>
      <c r="H112" s="328"/>
      <c r="I112" s="329"/>
      <c r="J112" s="330"/>
      <c r="K112" s="369"/>
      <c r="L112" s="375"/>
      <c r="M112" s="331"/>
      <c r="N112" s="331"/>
      <c r="O112" s="331"/>
      <c r="P112" s="329"/>
      <c r="Q112" s="376"/>
      <c r="R112" s="383"/>
      <c r="S112" s="332"/>
      <c r="T112" s="331"/>
      <c r="U112" s="333"/>
      <c r="V112" s="333"/>
      <c r="W112" s="384"/>
      <c r="X112" s="383"/>
      <c r="Y112" s="332"/>
      <c r="Z112" s="331"/>
      <c r="AA112" s="331"/>
      <c r="AB112" s="333"/>
      <c r="AC112" s="384"/>
      <c r="AD112" s="375"/>
      <c r="AE112" s="369"/>
      <c r="AF112" s="397"/>
      <c r="AG112" s="328"/>
      <c r="AH112" s="328"/>
      <c r="AI112" s="328"/>
      <c r="AJ112" s="328"/>
      <c r="AK112" s="328"/>
      <c r="AL112" s="328"/>
      <c r="AM112" s="328"/>
      <c r="AN112" s="398"/>
      <c r="AO112" s="402" t="str">
        <f>IF(ISBLANK(tblData[[#This Row],[Surname]]),"",IF(tblData[[#This Row],[Bill Accred Fee]]=0,"NO","YES"))</f>
        <v/>
      </c>
      <c r="AP112" s="406">
        <f>IF(AND(NOT(ISBLANK(tblData[[#This Row],[Surname]])),COUNTA(tblData[[#This Row],[Day 1]:[Day 9]])=0),1,0)</f>
        <v>0</v>
      </c>
      <c r="AQ112" s="406">
        <f>IF(AND(NOT(ISBLANK(tblData[[#This Row],[Surname]])),tblData[[#This Row],[Position]]="Athlete"),1,0)</f>
        <v>0</v>
      </c>
      <c r="AR112" s="433">
        <f>EntryFee*tblData[[#This Row],[Entry Fee Billable]]</f>
        <v>0</v>
      </c>
      <c r="AS112" s="410" t="e">
        <f>IF(ISBLANK(SelectedCategory),"No Cat!",IF(ISBLANK($F112),0,IFERROR(VLOOKUP(AS$12&amp;", "&amp;tblData[[#This Row],[Day 1]],tblAccommodationCosts[],5,FALSE),0)+IFERROR(VLOOKUP(AS$12&amp;", "&amp;tblData[[#This Row],[Day 2]],tblAccommodationCosts[],5,FALSE),0)+IFERROR(VLOOKUP(AS$12&amp;", "&amp;tblData[[#This Row],[Day 3]],tblAccommodationCosts[],5,FALSE),0)+IFERROR(VLOOKUP(AS$12&amp;", "&amp;tblData[[#This Row],[Day 4]],tblAccommodationCosts[],5,FALSE),0)+IFERROR(VLOOKUP(AS$12&amp;", "&amp;tblData[[#This Row],[Day 5]],tblAccommodationCosts[],5,FALSE),0)+IFERROR(VLOOKUP(AS$12&amp;", "&amp;tblData[[#This Row],[Day 6]],tblAccommodationCosts[],5,FALSE),0)+IFERROR(VLOOKUP(AS$12&amp;", "&amp;tblData[[#This Row],[Day 7]],tblAccommodationCosts[],5,FALSE),0)+IFERROR(VLOOKUP(AS$12&amp;", "&amp;tblData[[#This Row],[Day 8]],tblAccommodationCosts[],5,FALSE),0)+IFERROR(VLOOKUP(AS$12&amp;", "&amp;tblData[[#This Row],[Day 9]],tblAccommodationCosts[],5,FALSE),0)+AccreditationFee*tblData[[#This Row],[Bill Accred Fee]]))+tblData[[#This Row],[Entry Fee]]</f>
        <v>#VALUE!</v>
      </c>
      <c r="AT112" s="324" t="str">
        <f>IFERROR(VLOOKUP(tblData[[#This Row],[Weight Category, Function, and Gender]],tblWeightOrFunction[],3,0),"")</f>
        <v/>
      </c>
      <c r="AU112" s="84" t="str">
        <f>IFERROR(VLOOKUP(tblData[[#This Row],[Weight Category, Function, and Gender]],tblWeightOrFunction[],4,0),"")</f>
        <v/>
      </c>
      <c r="AV112" s="85" t="str">
        <f>IFERROR(VLOOKUP(tblData[[#This Row],[Weight Category, Function, and Gender]],tblWeightOrFunction[],7,0),"")</f>
        <v/>
      </c>
      <c r="AW112" s="84" t="str">
        <f>IFERROR(VLOOKUP(tblData[[#This Row],[Weight Category, Function, and Gender]],tblWeightOrFunction[],6,0),"")</f>
        <v/>
      </c>
      <c r="AX112" s="84" t="str">
        <f>IFERROR(VLOOKUP(tblData[[#This Row],[Weight Category, Function, and Gender]],tblWeightOrFunction[],2,0),"")</f>
        <v/>
      </c>
      <c r="AY112" s="75">
        <f>tblData[[#This Row],[Arr Date]]+tblData[[#This Row],[Arr Time]]</f>
        <v>0</v>
      </c>
      <c r="AZ112" s="75">
        <f>tblData[[#This Row],[Dep Date]]+tblData[[#This Row],[Dep Time]]</f>
        <v>0</v>
      </c>
      <c r="BA112" s="72">
        <f>COUNTIF(tblData[Surname],"&lt;="&amp;tblData[Surname])</f>
        <v>0</v>
      </c>
      <c r="BB112" s="72">
        <f>COUNTIF(tblData[Given name],"&lt;="&amp;tblData[Given name])</f>
        <v>0</v>
      </c>
      <c r="BC112" s="72">
        <f>COUNTIF(tblData[Arr DateTime],"&lt;="&amp;tblData[Arr DateTime])</f>
        <v>110</v>
      </c>
      <c r="BD112" s="72">
        <f>COUNTIF(tblData[Dep DateTime],"&lt;="&amp;tblData[Dep DateTime])</f>
        <v>110</v>
      </c>
      <c r="BE112" s="72">
        <f>COUNTIF(tblData[ShuttleAtDeparture],"&lt;="&amp;tblData[ShuttleAtDeparture])</f>
        <v>0</v>
      </c>
      <c r="BI112" s="6" t="str">
        <f t="array" ref="BI112">IF(ROWS(tblData[[#Headers],[Id]]:tblData[[#This Row],[Id]])-1&gt;$BI$11,"",INDEX(tblData[Id],SMALL(IF(LEN(TRIM(tblData[Surname]))*((tblData[Type]=$BI$9)+(tblData[Type]=$BI$10)),ROW(tblData[Id])-ROW(tblData[[#Headers],[Id]])),ROWS(tblData[[#Headers],[Id]]:tblData[[#This Row],[Id]])-1)))</f>
        <v/>
      </c>
      <c r="BK112" s="6" t="str">
        <f>IF(ROWS(tblCoachesAndOfficialsSorted[[#Headers],[Id]]:tblCoachesAndOfficialsSorted[[#This Row],[Id]])-1&gt;$BK$11,"",SMALL(tblCoachesAndOfficials[Id],ROWS(tblCoachesAndOfficialsSorted[[#Headers],[Id]]:tblCoachesAndOfficialsSorted[[#This Row],[Id]])-1))</f>
        <v/>
      </c>
      <c r="BM112" s="6" t="str">
        <f t="array" ref="BM112">IF(ROWS(tblData[[#Headers],[Id]]:tblData[[#This Row],[Id]])-1&gt;$BM$11,"",INDEX(tblData[Id],SMALL(IF(LEN(TRIM(tblData[Surname]))*(tblData[Type]=$BM$9),ROW(tblData[Id])-ROW(tblData[[#Headers],[Id]])),ROWS(tblData[[#Headers],[Id]]:tblData[[#This Row],[Id]])-1)))</f>
        <v/>
      </c>
      <c r="BO112" s="6" t="str">
        <f>IF(ROWS(tblWomenSorted[[#Headers],[Id]]:tblWomenSorted[[#This Row],[Id]])-1&gt;$BO$11,"",SMALL(tblWomen[Id],ROWS(tblWomenSorted[[#Headers],[Id]]:tblWomenSorted[[#This Row],[Id]])-1))</f>
        <v/>
      </c>
      <c r="BP112" s="17"/>
      <c r="BQ112" s="6" t="str">
        <f t="array" ref="BQ112">IF(ROWS(tblData[[#Headers],[Id]]:tblData[[#This Row],[Id]])-1&gt;$BQ$11,"",INDEX(tblData[Id],SMALL(IF(LEN(TRIM(tblData[Surname]))*(tblData[Type]=$BQ$9),ROW(tblData[Id])-ROW(tblData[[#Headers],[Id]])),ROWS(tblData[[#Headers],[Id]]:tblData[[#This Row],[Id]])-1)))</f>
        <v/>
      </c>
      <c r="BS112" s="6" t="str">
        <f>IF(ROWS(tblMenSorted[[#Headers],[Id]]:tblMenSorted[[#This Row],[Id]])-1&gt;$BS$11,"",SMALL(tblMen[Id],ROWS(tblMenSorted[[#Headers],[Id]]:tblMenSorted[[#This Row],[Id]])-1))</f>
        <v/>
      </c>
      <c r="BU112" s="6" t="str">
        <f t="array" ref="BU112">IF(ROWS(tblData[[#Headers],[Sorted Name Id]]:tblData[[#This Row],[Sorted Name Id]])-1&gt;$BU$11,"",INDEX(tblData[Sorted Name Id],SMALL(IF(LEN(TRIM(tblData[Surname]))*(tblData[Visa required]="YES"),ROW(tblData[Sorted Name Id])-ROW(tblData[[#Headers],[Sorted Name Id]])),ROWS(tblData[[#Headers],[Sorted Name Id]]:tblData[[#This Row],[Sorted Name Id]])-1)))</f>
        <v/>
      </c>
      <c r="BW112" s="6" t="str">
        <f>IF(ROWS(tblVisasSorted[[#Headers],[Id]]:tblVisasSorted[[#This Row],[Id]])-1&gt;$BW$11,"",SMALL(tblVisas[Id],ROWS(tblVisasSorted[[#Headers],[Id]]:tblVisasSorted[[#This Row],[Id]])-1))</f>
        <v/>
      </c>
      <c r="BY112" s="6" t="str">
        <f t="array" ref="BY112">IF(ROWS(tblData[[#Headers],[Sorted Arr Id]]:tblData[[#This Row],[Sorted Arr Id]])-1&gt;$BY$11,"",INDEX(tblData[Sorted Arr Id],SMALL(IF(LEN(TRIM(tblData[Surname]))*(tblData[Arr DateTime]&gt;0),ROW(tblData[Sorted Arr Id])-ROW(tblData[[#Headers],[Sorted Arr Id]])),ROWS(tblData[[#Headers],[Sorted Arr Id]]:tblData[[#This Row],[Sorted Arr Id]])-1)))</f>
        <v/>
      </c>
      <c r="CA112" s="6" t="str">
        <f>IF(ROWS(tblArrivalSorted[[#Headers],[Id]]:tblArrivalSorted[[#This Row],[Id]])-1&gt;$CA$11,"",SMALL(tblArrival[Id],ROWS(tblArrivalSorted[[#Headers],[Id]]:tblArrivalSorted[[#This Row],[Id]])-1))</f>
        <v/>
      </c>
      <c r="CC112" s="6" t="str">
        <f t="array" ref="CC112">IF(ROWS(tblData[[#Headers],[Sorted Dep Id]]:tblData[[#This Row],[Sorted Dep Id]])-1&gt;$CC$11,"",INDEX(tblData[Sorted Dep Id],SMALL(IF(LEN(TRIM(tblData[Surname]))*(tblData[Dep DateTime]&gt;0),ROW(tblData[Sorted Dep Id])-ROW(tblData[[#Headers],[Sorted Dep Id]])),ROWS(tblData[[#Headers],[Sorted Dep Id]]:tblData[[#This Row],[Sorted Dep Id]])-1)))</f>
        <v/>
      </c>
      <c r="CE112" s="6" t="str">
        <f>IF(ROWS(tblDepartureSorted[[#Headers],[Id]]:tblDepartureSorted[[#This Row],[Id]])-1&gt;$CE$11,"",SMALL(tblDeparture[Id],ROWS(tblDepartureSorted[[#Headers],[Id]]:tblDepartureSorted[[#This Row],[Id]])-1))</f>
        <v/>
      </c>
      <c r="CG112" s="6" t="str">
        <f t="array" ref="CG112">IF(ROWS(tblData[[#Headers],[Id]]:tblData[[#This Row],[Id]])-1&gt;$CG$11,"",INDEX(tblData[Id],SMALL(IF(LEN(TRIM(tblData[Surname])),ROW(tblData[Id])-ROW(tblData[[#Headers],[Id]])),ROWS(tblData[[#Headers],[Id]]:tblData[[#This Row],[Id]])-1)))</f>
        <v/>
      </c>
    </row>
    <row r="113" spans="1:85" s="6" customFormat="1">
      <c r="A113" s="14">
        <f>IF(ISNUMBER(tblData[[#This Row],[SubType2]]),tblData[[#This Row],[SubType2]]*10000+tblData[[#This Row],[No]],1000000+tblData[[#This Row],[No]])</f>
        <v>1000100</v>
      </c>
      <c r="B113" s="14">
        <f>IFERROR(tblData[[#This Row],[Surname Rang]]*1000+tblData[[#This Row],[Given Name Rang]]+tblData[[#This Row],[No]]/1000,"")</f>
        <v>0.1</v>
      </c>
      <c r="C113" s="14">
        <f>IFERROR(tblData[[#This Row],[Arr DateTime Rang]]+tblData[[#This Row],[No]]/1000,"")</f>
        <v>110.1</v>
      </c>
      <c r="D113" s="14">
        <f>IFERROR(tblData[[#This Row],[Dep DateTime Rang]]+tblData[[#This Row],[No]]/1000,"")</f>
        <v>110.1</v>
      </c>
      <c r="E113" s="362">
        <f t="shared" si="2"/>
        <v>100</v>
      </c>
      <c r="F113" s="370"/>
      <c r="G113" s="331"/>
      <c r="H113" s="328"/>
      <c r="I113" s="329"/>
      <c r="J113" s="330"/>
      <c r="K113" s="369"/>
      <c r="L113" s="375"/>
      <c r="M113" s="331"/>
      <c r="N113" s="331"/>
      <c r="O113" s="331"/>
      <c r="P113" s="329"/>
      <c r="Q113" s="376"/>
      <c r="R113" s="383"/>
      <c r="S113" s="332"/>
      <c r="T113" s="331"/>
      <c r="U113" s="333"/>
      <c r="V113" s="333"/>
      <c r="W113" s="384"/>
      <c r="X113" s="383"/>
      <c r="Y113" s="332"/>
      <c r="Z113" s="331"/>
      <c r="AA113" s="331"/>
      <c r="AB113" s="333"/>
      <c r="AC113" s="384"/>
      <c r="AD113" s="375"/>
      <c r="AE113" s="369"/>
      <c r="AF113" s="397"/>
      <c r="AG113" s="328"/>
      <c r="AH113" s="328"/>
      <c r="AI113" s="328"/>
      <c r="AJ113" s="328"/>
      <c r="AK113" s="328"/>
      <c r="AL113" s="328"/>
      <c r="AM113" s="328"/>
      <c r="AN113" s="398"/>
      <c r="AO113" s="402" t="str">
        <f>IF(ISBLANK(tblData[[#This Row],[Surname]]),"",IF(tblData[[#This Row],[Bill Accred Fee]]=0,"NO","YES"))</f>
        <v/>
      </c>
      <c r="AP113" s="406">
        <f>IF(AND(NOT(ISBLANK(tblData[[#This Row],[Surname]])),COUNTA(tblData[[#This Row],[Day 1]:[Day 9]])=0),1,0)</f>
        <v>0</v>
      </c>
      <c r="AQ113" s="406">
        <f>IF(AND(NOT(ISBLANK(tblData[[#This Row],[Surname]])),tblData[[#This Row],[Position]]="Athlete"),1,0)</f>
        <v>0</v>
      </c>
      <c r="AR113" s="433">
        <f>EntryFee*tblData[[#This Row],[Entry Fee Billable]]</f>
        <v>0</v>
      </c>
      <c r="AS113" s="410" t="e">
        <f>IF(ISBLANK(SelectedCategory),"No Cat!",IF(ISBLANK($F113),0,IFERROR(VLOOKUP(AS$12&amp;", "&amp;tblData[[#This Row],[Day 1]],tblAccommodationCosts[],5,FALSE),0)+IFERROR(VLOOKUP(AS$12&amp;", "&amp;tblData[[#This Row],[Day 2]],tblAccommodationCosts[],5,FALSE),0)+IFERROR(VLOOKUP(AS$12&amp;", "&amp;tblData[[#This Row],[Day 3]],tblAccommodationCosts[],5,FALSE),0)+IFERROR(VLOOKUP(AS$12&amp;", "&amp;tblData[[#This Row],[Day 4]],tblAccommodationCosts[],5,FALSE),0)+IFERROR(VLOOKUP(AS$12&amp;", "&amp;tblData[[#This Row],[Day 5]],tblAccommodationCosts[],5,FALSE),0)+IFERROR(VLOOKUP(AS$12&amp;", "&amp;tblData[[#This Row],[Day 6]],tblAccommodationCosts[],5,FALSE),0)+IFERROR(VLOOKUP(AS$12&amp;", "&amp;tblData[[#This Row],[Day 7]],tblAccommodationCosts[],5,FALSE),0)+IFERROR(VLOOKUP(AS$12&amp;", "&amp;tblData[[#This Row],[Day 8]],tblAccommodationCosts[],5,FALSE),0)+IFERROR(VLOOKUP(AS$12&amp;", "&amp;tblData[[#This Row],[Day 9]],tblAccommodationCosts[],5,FALSE),0)+AccreditationFee*tblData[[#This Row],[Bill Accred Fee]]))+tblData[[#This Row],[Entry Fee]]</f>
        <v>#VALUE!</v>
      </c>
      <c r="AT113" s="324" t="str">
        <f>IFERROR(VLOOKUP(tblData[[#This Row],[Weight Category, Function, and Gender]],tblWeightOrFunction[],3,0),"")</f>
        <v/>
      </c>
      <c r="AU113" s="84" t="str">
        <f>IFERROR(VLOOKUP(tblData[[#This Row],[Weight Category, Function, and Gender]],tblWeightOrFunction[],4,0),"")</f>
        <v/>
      </c>
      <c r="AV113" s="85" t="str">
        <f>IFERROR(VLOOKUP(tblData[[#This Row],[Weight Category, Function, and Gender]],tblWeightOrFunction[],7,0),"")</f>
        <v/>
      </c>
      <c r="AW113" s="84" t="str">
        <f>IFERROR(VLOOKUP(tblData[[#This Row],[Weight Category, Function, and Gender]],tblWeightOrFunction[],6,0),"")</f>
        <v/>
      </c>
      <c r="AX113" s="84" t="str">
        <f>IFERROR(VLOOKUP(tblData[[#This Row],[Weight Category, Function, and Gender]],tblWeightOrFunction[],2,0),"")</f>
        <v/>
      </c>
      <c r="AY113" s="75">
        <f>tblData[[#This Row],[Arr Date]]+tblData[[#This Row],[Arr Time]]</f>
        <v>0</v>
      </c>
      <c r="AZ113" s="75">
        <f>tblData[[#This Row],[Dep Date]]+tblData[[#This Row],[Dep Time]]</f>
        <v>0</v>
      </c>
      <c r="BA113" s="72">
        <f>COUNTIF(tblData[Surname],"&lt;="&amp;tblData[Surname])</f>
        <v>0</v>
      </c>
      <c r="BB113" s="72">
        <f>COUNTIF(tblData[Given name],"&lt;="&amp;tblData[Given name])</f>
        <v>0</v>
      </c>
      <c r="BC113" s="72">
        <f>COUNTIF(tblData[Arr DateTime],"&lt;="&amp;tblData[Arr DateTime])</f>
        <v>110</v>
      </c>
      <c r="BD113" s="72">
        <f>COUNTIF(tblData[Dep DateTime],"&lt;="&amp;tblData[Dep DateTime])</f>
        <v>110</v>
      </c>
      <c r="BE113" s="72">
        <f>COUNTIF(tblData[ShuttleAtDeparture],"&lt;="&amp;tblData[ShuttleAtDeparture])</f>
        <v>0</v>
      </c>
      <c r="BI113" s="6" t="str">
        <f t="array" ref="BI113">IF(ROWS(tblData[[#Headers],[Id]]:tblData[[#This Row],[Id]])-1&gt;$BI$11,"",INDEX(tblData[Id],SMALL(IF(LEN(TRIM(tblData[Surname]))*((tblData[Type]=$BI$9)+(tblData[Type]=$BI$10)),ROW(tblData[Id])-ROW(tblData[[#Headers],[Id]])),ROWS(tblData[[#Headers],[Id]]:tblData[[#This Row],[Id]])-1)))</f>
        <v/>
      </c>
      <c r="BK113" s="6" t="str">
        <f>IF(ROWS(tblCoachesAndOfficialsSorted[[#Headers],[Id]]:tblCoachesAndOfficialsSorted[[#This Row],[Id]])-1&gt;$BK$11,"",SMALL(tblCoachesAndOfficials[Id],ROWS(tblCoachesAndOfficialsSorted[[#Headers],[Id]]:tblCoachesAndOfficialsSorted[[#This Row],[Id]])-1))</f>
        <v/>
      </c>
      <c r="BM113" s="6" t="str">
        <f t="array" ref="BM113">IF(ROWS(tblData[[#Headers],[Id]]:tblData[[#This Row],[Id]])-1&gt;$BM$11,"",INDEX(tblData[Id],SMALL(IF(LEN(TRIM(tblData[Surname]))*(tblData[Type]=$BM$9),ROW(tblData[Id])-ROW(tblData[[#Headers],[Id]])),ROWS(tblData[[#Headers],[Id]]:tblData[[#This Row],[Id]])-1)))</f>
        <v/>
      </c>
      <c r="BO113" s="6" t="str">
        <f>IF(ROWS(tblWomenSorted[[#Headers],[Id]]:tblWomenSorted[[#This Row],[Id]])-1&gt;$BO$11,"",SMALL(tblWomen[Id],ROWS(tblWomenSorted[[#Headers],[Id]]:tblWomenSorted[[#This Row],[Id]])-1))</f>
        <v/>
      </c>
      <c r="BP113" s="17"/>
      <c r="BQ113" s="6" t="str">
        <f t="array" ref="BQ113">IF(ROWS(tblData[[#Headers],[Id]]:tblData[[#This Row],[Id]])-1&gt;$BQ$11,"",INDEX(tblData[Id],SMALL(IF(LEN(TRIM(tblData[Surname]))*(tblData[Type]=$BQ$9),ROW(tblData[Id])-ROW(tblData[[#Headers],[Id]])),ROWS(tblData[[#Headers],[Id]]:tblData[[#This Row],[Id]])-1)))</f>
        <v/>
      </c>
      <c r="BS113" s="6" t="str">
        <f>IF(ROWS(tblMenSorted[[#Headers],[Id]]:tblMenSorted[[#This Row],[Id]])-1&gt;$BS$11,"",SMALL(tblMen[Id],ROWS(tblMenSorted[[#Headers],[Id]]:tblMenSorted[[#This Row],[Id]])-1))</f>
        <v/>
      </c>
      <c r="BU113" s="6" t="str">
        <f t="array" ref="BU113">IF(ROWS(tblData[[#Headers],[Sorted Name Id]]:tblData[[#This Row],[Sorted Name Id]])-1&gt;$BU$11,"",INDEX(tblData[Sorted Name Id],SMALL(IF(LEN(TRIM(tblData[Surname]))*(tblData[Visa required]="YES"),ROW(tblData[Sorted Name Id])-ROW(tblData[[#Headers],[Sorted Name Id]])),ROWS(tblData[[#Headers],[Sorted Name Id]]:tblData[[#This Row],[Sorted Name Id]])-1)))</f>
        <v/>
      </c>
      <c r="BW113" s="6" t="str">
        <f>IF(ROWS(tblVisasSorted[[#Headers],[Id]]:tblVisasSorted[[#This Row],[Id]])-1&gt;$BW$11,"",SMALL(tblVisas[Id],ROWS(tblVisasSorted[[#Headers],[Id]]:tblVisasSorted[[#This Row],[Id]])-1))</f>
        <v/>
      </c>
      <c r="BY113" s="6" t="str">
        <f t="array" ref="BY113">IF(ROWS(tblData[[#Headers],[Sorted Arr Id]]:tblData[[#This Row],[Sorted Arr Id]])-1&gt;$BY$11,"",INDEX(tblData[Sorted Arr Id],SMALL(IF(LEN(TRIM(tblData[Surname]))*(tblData[Arr DateTime]&gt;0),ROW(tblData[Sorted Arr Id])-ROW(tblData[[#Headers],[Sorted Arr Id]])),ROWS(tblData[[#Headers],[Sorted Arr Id]]:tblData[[#This Row],[Sorted Arr Id]])-1)))</f>
        <v/>
      </c>
      <c r="CA113" s="6" t="str">
        <f>IF(ROWS(tblArrivalSorted[[#Headers],[Id]]:tblArrivalSorted[[#This Row],[Id]])-1&gt;$CA$11,"",SMALL(tblArrival[Id],ROWS(tblArrivalSorted[[#Headers],[Id]]:tblArrivalSorted[[#This Row],[Id]])-1))</f>
        <v/>
      </c>
      <c r="CC113" s="6" t="str">
        <f t="array" ref="CC113">IF(ROWS(tblData[[#Headers],[Sorted Dep Id]]:tblData[[#This Row],[Sorted Dep Id]])-1&gt;$CC$11,"",INDEX(tblData[Sorted Dep Id],SMALL(IF(LEN(TRIM(tblData[Surname]))*(tblData[Dep DateTime]&gt;0),ROW(tblData[Sorted Dep Id])-ROW(tblData[[#Headers],[Sorted Dep Id]])),ROWS(tblData[[#Headers],[Sorted Dep Id]]:tblData[[#This Row],[Sorted Dep Id]])-1)))</f>
        <v/>
      </c>
      <c r="CE113" s="6" t="str">
        <f>IF(ROWS(tblDepartureSorted[[#Headers],[Id]]:tblDepartureSorted[[#This Row],[Id]])-1&gt;$CE$11,"",SMALL(tblDeparture[Id],ROWS(tblDepartureSorted[[#Headers],[Id]]:tblDepartureSorted[[#This Row],[Id]])-1))</f>
        <v/>
      </c>
      <c r="CG113" s="6" t="str">
        <f t="array" ref="CG113">IF(ROWS(tblData[[#Headers],[Id]]:tblData[[#This Row],[Id]])-1&gt;$CG$11,"",INDEX(tblData[Id],SMALL(IF(LEN(TRIM(tblData[Surname])),ROW(tblData[Id])-ROW(tblData[[#Headers],[Id]])),ROWS(tblData[[#Headers],[Id]]:tblData[[#This Row],[Id]])-1)))</f>
        <v/>
      </c>
    </row>
    <row r="114" spans="1:85" s="6" customFormat="1">
      <c r="A114" s="14">
        <f>IF(ISNUMBER(tblData[[#This Row],[SubType2]]),tblData[[#This Row],[SubType2]]*10000+tblData[[#This Row],[No]],1000000+tblData[[#This Row],[No]])</f>
        <v>1000101</v>
      </c>
      <c r="B114" s="14">
        <f>IFERROR(tblData[[#This Row],[Surname Rang]]*1000+tblData[[#This Row],[Given Name Rang]]+tblData[[#This Row],[No]]/1000,"")</f>
        <v>0.10100000000000001</v>
      </c>
      <c r="C114" s="14">
        <f>IFERROR(tblData[[#This Row],[Arr DateTime Rang]]+tblData[[#This Row],[No]]/1000,"")</f>
        <v>110.101</v>
      </c>
      <c r="D114" s="14">
        <f>IFERROR(tblData[[#This Row],[Dep DateTime Rang]]+tblData[[#This Row],[No]]/1000,"")</f>
        <v>110.101</v>
      </c>
      <c r="E114" s="362">
        <f t="shared" si="2"/>
        <v>101</v>
      </c>
      <c r="F114" s="370"/>
      <c r="G114" s="331"/>
      <c r="H114" s="328"/>
      <c r="I114" s="329"/>
      <c r="J114" s="330"/>
      <c r="K114" s="369"/>
      <c r="L114" s="375"/>
      <c r="M114" s="331"/>
      <c r="N114" s="331"/>
      <c r="O114" s="331"/>
      <c r="P114" s="329"/>
      <c r="Q114" s="376"/>
      <c r="R114" s="383"/>
      <c r="S114" s="332"/>
      <c r="T114" s="331"/>
      <c r="U114" s="333"/>
      <c r="V114" s="333"/>
      <c r="W114" s="384"/>
      <c r="X114" s="383"/>
      <c r="Y114" s="332"/>
      <c r="Z114" s="331"/>
      <c r="AA114" s="331"/>
      <c r="AB114" s="333"/>
      <c r="AC114" s="384"/>
      <c r="AD114" s="375"/>
      <c r="AE114" s="369"/>
      <c r="AF114" s="397"/>
      <c r="AG114" s="328"/>
      <c r="AH114" s="328"/>
      <c r="AI114" s="328"/>
      <c r="AJ114" s="328"/>
      <c r="AK114" s="328"/>
      <c r="AL114" s="328"/>
      <c r="AM114" s="328"/>
      <c r="AN114" s="398"/>
      <c r="AO114" s="402" t="str">
        <f>IF(ISBLANK(tblData[[#This Row],[Surname]]),"",IF(tblData[[#This Row],[Bill Accred Fee]]=0,"NO","YES"))</f>
        <v/>
      </c>
      <c r="AP114" s="406">
        <f>IF(AND(NOT(ISBLANK(tblData[[#This Row],[Surname]])),COUNTA(tblData[[#This Row],[Day 1]:[Day 9]])=0),1,0)</f>
        <v>0</v>
      </c>
      <c r="AQ114" s="406">
        <f>IF(AND(NOT(ISBLANK(tblData[[#This Row],[Surname]])),tblData[[#This Row],[Position]]="Athlete"),1,0)</f>
        <v>0</v>
      </c>
      <c r="AR114" s="433">
        <f>EntryFee*tblData[[#This Row],[Entry Fee Billable]]</f>
        <v>0</v>
      </c>
      <c r="AS114" s="410" t="e">
        <f>IF(ISBLANK(SelectedCategory),"No Cat!",IF(ISBLANK($F114),0,IFERROR(VLOOKUP(AS$12&amp;", "&amp;tblData[[#This Row],[Day 1]],tblAccommodationCosts[],5,FALSE),0)+IFERROR(VLOOKUP(AS$12&amp;", "&amp;tblData[[#This Row],[Day 2]],tblAccommodationCosts[],5,FALSE),0)+IFERROR(VLOOKUP(AS$12&amp;", "&amp;tblData[[#This Row],[Day 3]],tblAccommodationCosts[],5,FALSE),0)+IFERROR(VLOOKUP(AS$12&amp;", "&amp;tblData[[#This Row],[Day 4]],tblAccommodationCosts[],5,FALSE),0)+IFERROR(VLOOKUP(AS$12&amp;", "&amp;tblData[[#This Row],[Day 5]],tblAccommodationCosts[],5,FALSE),0)+IFERROR(VLOOKUP(AS$12&amp;", "&amp;tblData[[#This Row],[Day 6]],tblAccommodationCosts[],5,FALSE),0)+IFERROR(VLOOKUP(AS$12&amp;", "&amp;tblData[[#This Row],[Day 7]],tblAccommodationCosts[],5,FALSE),0)+IFERROR(VLOOKUP(AS$12&amp;", "&amp;tblData[[#This Row],[Day 8]],tblAccommodationCosts[],5,FALSE),0)+IFERROR(VLOOKUP(AS$12&amp;", "&amp;tblData[[#This Row],[Day 9]],tblAccommodationCosts[],5,FALSE),0)+AccreditationFee*tblData[[#This Row],[Bill Accred Fee]]))+tblData[[#This Row],[Entry Fee]]</f>
        <v>#VALUE!</v>
      </c>
      <c r="AT114" s="324" t="str">
        <f>IFERROR(VLOOKUP(tblData[[#This Row],[Weight Category, Function, and Gender]],tblWeightOrFunction[],3,0),"")</f>
        <v/>
      </c>
      <c r="AU114" s="84" t="str">
        <f>IFERROR(VLOOKUP(tblData[[#This Row],[Weight Category, Function, and Gender]],tblWeightOrFunction[],4,0),"")</f>
        <v/>
      </c>
      <c r="AV114" s="85" t="str">
        <f>IFERROR(VLOOKUP(tblData[[#This Row],[Weight Category, Function, and Gender]],tblWeightOrFunction[],7,0),"")</f>
        <v/>
      </c>
      <c r="AW114" s="84" t="str">
        <f>IFERROR(VLOOKUP(tblData[[#This Row],[Weight Category, Function, and Gender]],tblWeightOrFunction[],6,0),"")</f>
        <v/>
      </c>
      <c r="AX114" s="84" t="str">
        <f>IFERROR(VLOOKUP(tblData[[#This Row],[Weight Category, Function, and Gender]],tblWeightOrFunction[],2,0),"")</f>
        <v/>
      </c>
      <c r="AY114" s="75">
        <f>tblData[[#This Row],[Arr Date]]+tblData[[#This Row],[Arr Time]]</f>
        <v>0</v>
      </c>
      <c r="AZ114" s="75">
        <f>tblData[[#This Row],[Dep Date]]+tblData[[#This Row],[Dep Time]]</f>
        <v>0</v>
      </c>
      <c r="BA114" s="72">
        <f>COUNTIF(tblData[Surname],"&lt;="&amp;tblData[Surname])</f>
        <v>0</v>
      </c>
      <c r="BB114" s="72">
        <f>COUNTIF(tblData[Given name],"&lt;="&amp;tblData[Given name])</f>
        <v>0</v>
      </c>
      <c r="BC114" s="72">
        <f>COUNTIF(tblData[Arr DateTime],"&lt;="&amp;tblData[Arr DateTime])</f>
        <v>110</v>
      </c>
      <c r="BD114" s="72">
        <f>COUNTIF(tblData[Dep DateTime],"&lt;="&amp;tblData[Dep DateTime])</f>
        <v>110</v>
      </c>
      <c r="BE114" s="72">
        <f>COUNTIF(tblData[ShuttleAtDeparture],"&lt;="&amp;tblData[ShuttleAtDeparture])</f>
        <v>0</v>
      </c>
      <c r="BI114" s="6" t="str">
        <f t="array" ref="BI114">IF(ROWS(tblData[[#Headers],[Id]]:tblData[[#This Row],[Id]])-1&gt;$BI$11,"",INDEX(tblData[Id],SMALL(IF(LEN(TRIM(tblData[Surname]))*((tblData[Type]=$BI$9)+(tblData[Type]=$BI$10)),ROW(tblData[Id])-ROW(tblData[[#Headers],[Id]])),ROWS(tblData[[#Headers],[Id]]:tblData[[#This Row],[Id]])-1)))</f>
        <v/>
      </c>
      <c r="BK114" s="6" t="str">
        <f>IF(ROWS(tblCoachesAndOfficialsSorted[[#Headers],[Id]]:tblCoachesAndOfficialsSorted[[#This Row],[Id]])-1&gt;$BK$11,"",SMALL(tblCoachesAndOfficials[Id],ROWS(tblCoachesAndOfficialsSorted[[#Headers],[Id]]:tblCoachesAndOfficialsSorted[[#This Row],[Id]])-1))</f>
        <v/>
      </c>
      <c r="BM114" s="6" t="str">
        <f t="array" ref="BM114">IF(ROWS(tblData[[#Headers],[Id]]:tblData[[#This Row],[Id]])-1&gt;$BM$11,"",INDEX(tblData[Id],SMALL(IF(LEN(TRIM(tblData[Surname]))*(tblData[Type]=$BM$9),ROW(tblData[Id])-ROW(tblData[[#Headers],[Id]])),ROWS(tblData[[#Headers],[Id]]:tblData[[#This Row],[Id]])-1)))</f>
        <v/>
      </c>
      <c r="BO114" s="6" t="str">
        <f>IF(ROWS(tblWomenSorted[[#Headers],[Id]]:tblWomenSorted[[#This Row],[Id]])-1&gt;$BO$11,"",SMALL(tblWomen[Id],ROWS(tblWomenSorted[[#Headers],[Id]]:tblWomenSorted[[#This Row],[Id]])-1))</f>
        <v/>
      </c>
      <c r="BP114" s="17"/>
      <c r="BQ114" s="6" t="str">
        <f t="array" ref="BQ114">IF(ROWS(tblData[[#Headers],[Id]]:tblData[[#This Row],[Id]])-1&gt;$BQ$11,"",INDEX(tblData[Id],SMALL(IF(LEN(TRIM(tblData[Surname]))*(tblData[Type]=$BQ$9),ROW(tblData[Id])-ROW(tblData[[#Headers],[Id]])),ROWS(tblData[[#Headers],[Id]]:tblData[[#This Row],[Id]])-1)))</f>
        <v/>
      </c>
      <c r="BS114" s="6" t="str">
        <f>IF(ROWS(tblMenSorted[[#Headers],[Id]]:tblMenSorted[[#This Row],[Id]])-1&gt;$BS$11,"",SMALL(tblMen[Id],ROWS(tblMenSorted[[#Headers],[Id]]:tblMenSorted[[#This Row],[Id]])-1))</f>
        <v/>
      </c>
      <c r="BU114" s="6" t="str">
        <f t="array" ref="BU114">IF(ROWS(tblData[[#Headers],[Sorted Name Id]]:tblData[[#This Row],[Sorted Name Id]])-1&gt;$BU$11,"",INDEX(tblData[Sorted Name Id],SMALL(IF(LEN(TRIM(tblData[Surname]))*(tblData[Visa required]="YES"),ROW(tblData[Sorted Name Id])-ROW(tblData[[#Headers],[Sorted Name Id]])),ROWS(tblData[[#Headers],[Sorted Name Id]]:tblData[[#This Row],[Sorted Name Id]])-1)))</f>
        <v/>
      </c>
      <c r="BW114" s="6" t="str">
        <f>IF(ROWS(tblVisasSorted[[#Headers],[Id]]:tblVisasSorted[[#This Row],[Id]])-1&gt;$BW$11,"",SMALL(tblVisas[Id],ROWS(tblVisasSorted[[#Headers],[Id]]:tblVisasSorted[[#This Row],[Id]])-1))</f>
        <v/>
      </c>
      <c r="BY114" s="6" t="str">
        <f t="array" ref="BY114">IF(ROWS(tblData[[#Headers],[Sorted Arr Id]]:tblData[[#This Row],[Sorted Arr Id]])-1&gt;$BY$11,"",INDEX(tblData[Sorted Arr Id],SMALL(IF(LEN(TRIM(tblData[Surname]))*(tblData[Arr DateTime]&gt;0),ROW(tblData[Sorted Arr Id])-ROW(tblData[[#Headers],[Sorted Arr Id]])),ROWS(tblData[[#Headers],[Sorted Arr Id]]:tblData[[#This Row],[Sorted Arr Id]])-1)))</f>
        <v/>
      </c>
      <c r="CA114" s="6" t="str">
        <f>IF(ROWS(tblArrivalSorted[[#Headers],[Id]]:tblArrivalSorted[[#This Row],[Id]])-1&gt;$CA$11,"",SMALL(tblArrival[Id],ROWS(tblArrivalSorted[[#Headers],[Id]]:tblArrivalSorted[[#This Row],[Id]])-1))</f>
        <v/>
      </c>
      <c r="CC114" s="6" t="str">
        <f t="array" ref="CC114">IF(ROWS(tblData[[#Headers],[Sorted Dep Id]]:tblData[[#This Row],[Sorted Dep Id]])-1&gt;$CC$11,"",INDEX(tblData[Sorted Dep Id],SMALL(IF(LEN(TRIM(tblData[Surname]))*(tblData[Dep DateTime]&gt;0),ROW(tblData[Sorted Dep Id])-ROW(tblData[[#Headers],[Sorted Dep Id]])),ROWS(tblData[[#Headers],[Sorted Dep Id]]:tblData[[#This Row],[Sorted Dep Id]])-1)))</f>
        <v/>
      </c>
      <c r="CE114" s="6" t="str">
        <f>IF(ROWS(tblDepartureSorted[[#Headers],[Id]]:tblDepartureSorted[[#This Row],[Id]])-1&gt;$CE$11,"",SMALL(tblDeparture[Id],ROWS(tblDepartureSorted[[#Headers],[Id]]:tblDepartureSorted[[#This Row],[Id]])-1))</f>
        <v/>
      </c>
      <c r="CG114" s="6" t="str">
        <f t="array" ref="CG114">IF(ROWS(tblData[[#Headers],[Id]]:tblData[[#This Row],[Id]])-1&gt;$CG$11,"",INDEX(tblData[Id],SMALL(IF(LEN(TRIM(tblData[Surname])),ROW(tblData[Id])-ROW(tblData[[#Headers],[Id]])),ROWS(tblData[[#Headers],[Id]]:tblData[[#This Row],[Id]])-1)))</f>
        <v/>
      </c>
    </row>
    <row r="115" spans="1:85" s="6" customFormat="1">
      <c r="A115" s="14">
        <f>IF(ISNUMBER(tblData[[#This Row],[SubType2]]),tblData[[#This Row],[SubType2]]*10000+tblData[[#This Row],[No]],1000000+tblData[[#This Row],[No]])</f>
        <v>1000102</v>
      </c>
      <c r="B115" s="14">
        <f>IFERROR(tblData[[#This Row],[Surname Rang]]*1000+tblData[[#This Row],[Given Name Rang]]+tblData[[#This Row],[No]]/1000,"")</f>
        <v>0.10199999999999999</v>
      </c>
      <c r="C115" s="14">
        <f>IFERROR(tblData[[#This Row],[Arr DateTime Rang]]+tblData[[#This Row],[No]]/1000,"")</f>
        <v>110.102</v>
      </c>
      <c r="D115" s="14">
        <f>IFERROR(tblData[[#This Row],[Dep DateTime Rang]]+tblData[[#This Row],[No]]/1000,"")</f>
        <v>110.102</v>
      </c>
      <c r="E115" s="362">
        <f t="shared" si="2"/>
        <v>102</v>
      </c>
      <c r="F115" s="370"/>
      <c r="G115" s="331"/>
      <c r="H115" s="328"/>
      <c r="I115" s="329"/>
      <c r="J115" s="330"/>
      <c r="K115" s="369"/>
      <c r="L115" s="375"/>
      <c r="M115" s="331"/>
      <c r="N115" s="331"/>
      <c r="O115" s="331"/>
      <c r="P115" s="329"/>
      <c r="Q115" s="376"/>
      <c r="R115" s="383"/>
      <c r="S115" s="332"/>
      <c r="T115" s="331"/>
      <c r="U115" s="333"/>
      <c r="V115" s="333"/>
      <c r="W115" s="384"/>
      <c r="X115" s="383"/>
      <c r="Y115" s="332"/>
      <c r="Z115" s="331"/>
      <c r="AA115" s="331"/>
      <c r="AB115" s="333"/>
      <c r="AC115" s="384"/>
      <c r="AD115" s="375"/>
      <c r="AE115" s="369"/>
      <c r="AF115" s="397"/>
      <c r="AG115" s="328"/>
      <c r="AH115" s="328"/>
      <c r="AI115" s="328"/>
      <c r="AJ115" s="328"/>
      <c r="AK115" s="328"/>
      <c r="AL115" s="328"/>
      <c r="AM115" s="328"/>
      <c r="AN115" s="398"/>
      <c r="AO115" s="402" t="str">
        <f>IF(ISBLANK(tblData[[#This Row],[Surname]]),"",IF(tblData[[#This Row],[Bill Accred Fee]]=0,"NO","YES"))</f>
        <v/>
      </c>
      <c r="AP115" s="406">
        <f>IF(AND(NOT(ISBLANK(tblData[[#This Row],[Surname]])),COUNTA(tblData[[#This Row],[Day 1]:[Day 9]])=0),1,0)</f>
        <v>0</v>
      </c>
      <c r="AQ115" s="406">
        <f>IF(AND(NOT(ISBLANK(tblData[[#This Row],[Surname]])),tblData[[#This Row],[Position]]="Athlete"),1,0)</f>
        <v>0</v>
      </c>
      <c r="AR115" s="433">
        <f>EntryFee*tblData[[#This Row],[Entry Fee Billable]]</f>
        <v>0</v>
      </c>
      <c r="AS115" s="410" t="e">
        <f>IF(ISBLANK(SelectedCategory),"No Cat!",IF(ISBLANK($F115),0,IFERROR(VLOOKUP(AS$12&amp;", "&amp;tblData[[#This Row],[Day 1]],tblAccommodationCosts[],5,FALSE),0)+IFERROR(VLOOKUP(AS$12&amp;", "&amp;tblData[[#This Row],[Day 2]],tblAccommodationCosts[],5,FALSE),0)+IFERROR(VLOOKUP(AS$12&amp;", "&amp;tblData[[#This Row],[Day 3]],tblAccommodationCosts[],5,FALSE),0)+IFERROR(VLOOKUP(AS$12&amp;", "&amp;tblData[[#This Row],[Day 4]],tblAccommodationCosts[],5,FALSE),0)+IFERROR(VLOOKUP(AS$12&amp;", "&amp;tblData[[#This Row],[Day 5]],tblAccommodationCosts[],5,FALSE),0)+IFERROR(VLOOKUP(AS$12&amp;", "&amp;tblData[[#This Row],[Day 6]],tblAccommodationCosts[],5,FALSE),0)+IFERROR(VLOOKUP(AS$12&amp;", "&amp;tblData[[#This Row],[Day 7]],tblAccommodationCosts[],5,FALSE),0)+IFERROR(VLOOKUP(AS$12&amp;", "&amp;tblData[[#This Row],[Day 8]],tblAccommodationCosts[],5,FALSE),0)+IFERROR(VLOOKUP(AS$12&amp;", "&amp;tblData[[#This Row],[Day 9]],tblAccommodationCosts[],5,FALSE),0)+AccreditationFee*tblData[[#This Row],[Bill Accred Fee]]))+tblData[[#This Row],[Entry Fee]]</f>
        <v>#VALUE!</v>
      </c>
      <c r="AT115" s="324" t="str">
        <f>IFERROR(VLOOKUP(tblData[[#This Row],[Weight Category, Function, and Gender]],tblWeightOrFunction[],3,0),"")</f>
        <v/>
      </c>
      <c r="AU115" s="84" t="str">
        <f>IFERROR(VLOOKUP(tblData[[#This Row],[Weight Category, Function, and Gender]],tblWeightOrFunction[],4,0),"")</f>
        <v/>
      </c>
      <c r="AV115" s="85" t="str">
        <f>IFERROR(VLOOKUP(tblData[[#This Row],[Weight Category, Function, and Gender]],tblWeightOrFunction[],7,0),"")</f>
        <v/>
      </c>
      <c r="AW115" s="84" t="str">
        <f>IFERROR(VLOOKUP(tblData[[#This Row],[Weight Category, Function, and Gender]],tblWeightOrFunction[],6,0),"")</f>
        <v/>
      </c>
      <c r="AX115" s="84" t="str">
        <f>IFERROR(VLOOKUP(tblData[[#This Row],[Weight Category, Function, and Gender]],tblWeightOrFunction[],2,0),"")</f>
        <v/>
      </c>
      <c r="AY115" s="75">
        <f>tblData[[#This Row],[Arr Date]]+tblData[[#This Row],[Arr Time]]</f>
        <v>0</v>
      </c>
      <c r="AZ115" s="75">
        <f>tblData[[#This Row],[Dep Date]]+tblData[[#This Row],[Dep Time]]</f>
        <v>0</v>
      </c>
      <c r="BA115" s="72">
        <f>COUNTIF(tblData[Surname],"&lt;="&amp;tblData[Surname])</f>
        <v>0</v>
      </c>
      <c r="BB115" s="72">
        <f>COUNTIF(tblData[Given name],"&lt;="&amp;tblData[Given name])</f>
        <v>0</v>
      </c>
      <c r="BC115" s="72">
        <f>COUNTIF(tblData[Arr DateTime],"&lt;="&amp;tblData[Arr DateTime])</f>
        <v>110</v>
      </c>
      <c r="BD115" s="72">
        <f>COUNTIF(tblData[Dep DateTime],"&lt;="&amp;tblData[Dep DateTime])</f>
        <v>110</v>
      </c>
      <c r="BE115" s="72">
        <f>COUNTIF(tblData[ShuttleAtDeparture],"&lt;="&amp;tblData[ShuttleAtDeparture])</f>
        <v>0</v>
      </c>
      <c r="BI115" s="6" t="str">
        <f t="array" ref="BI115">IF(ROWS(tblData[[#Headers],[Id]]:tblData[[#This Row],[Id]])-1&gt;$BI$11,"",INDEX(tblData[Id],SMALL(IF(LEN(TRIM(tblData[Surname]))*((tblData[Type]=$BI$9)+(tblData[Type]=$BI$10)),ROW(tblData[Id])-ROW(tblData[[#Headers],[Id]])),ROWS(tblData[[#Headers],[Id]]:tblData[[#This Row],[Id]])-1)))</f>
        <v/>
      </c>
      <c r="BK115" s="6" t="str">
        <f>IF(ROWS(tblCoachesAndOfficialsSorted[[#Headers],[Id]]:tblCoachesAndOfficialsSorted[[#This Row],[Id]])-1&gt;$BK$11,"",SMALL(tblCoachesAndOfficials[Id],ROWS(tblCoachesAndOfficialsSorted[[#Headers],[Id]]:tblCoachesAndOfficialsSorted[[#This Row],[Id]])-1))</f>
        <v/>
      </c>
      <c r="BM115" s="6" t="str">
        <f t="array" ref="BM115">IF(ROWS(tblData[[#Headers],[Id]]:tblData[[#This Row],[Id]])-1&gt;$BM$11,"",INDEX(tblData[Id],SMALL(IF(LEN(TRIM(tblData[Surname]))*(tblData[Type]=$BM$9),ROW(tblData[Id])-ROW(tblData[[#Headers],[Id]])),ROWS(tblData[[#Headers],[Id]]:tblData[[#This Row],[Id]])-1)))</f>
        <v/>
      </c>
      <c r="BO115" s="6" t="str">
        <f>IF(ROWS(tblWomenSorted[[#Headers],[Id]]:tblWomenSorted[[#This Row],[Id]])-1&gt;$BO$11,"",SMALL(tblWomen[Id],ROWS(tblWomenSorted[[#Headers],[Id]]:tblWomenSorted[[#This Row],[Id]])-1))</f>
        <v/>
      </c>
      <c r="BP115" s="17"/>
      <c r="BQ115" s="6" t="str">
        <f t="array" ref="BQ115">IF(ROWS(tblData[[#Headers],[Id]]:tblData[[#This Row],[Id]])-1&gt;$BQ$11,"",INDEX(tblData[Id],SMALL(IF(LEN(TRIM(tblData[Surname]))*(tblData[Type]=$BQ$9),ROW(tblData[Id])-ROW(tblData[[#Headers],[Id]])),ROWS(tblData[[#Headers],[Id]]:tblData[[#This Row],[Id]])-1)))</f>
        <v/>
      </c>
      <c r="BS115" s="6" t="str">
        <f>IF(ROWS(tblMenSorted[[#Headers],[Id]]:tblMenSorted[[#This Row],[Id]])-1&gt;$BS$11,"",SMALL(tblMen[Id],ROWS(tblMenSorted[[#Headers],[Id]]:tblMenSorted[[#This Row],[Id]])-1))</f>
        <v/>
      </c>
      <c r="BU115" s="6" t="str">
        <f t="array" ref="BU115">IF(ROWS(tblData[[#Headers],[Sorted Name Id]]:tblData[[#This Row],[Sorted Name Id]])-1&gt;$BU$11,"",INDEX(tblData[Sorted Name Id],SMALL(IF(LEN(TRIM(tblData[Surname]))*(tblData[Visa required]="YES"),ROW(tblData[Sorted Name Id])-ROW(tblData[[#Headers],[Sorted Name Id]])),ROWS(tblData[[#Headers],[Sorted Name Id]]:tblData[[#This Row],[Sorted Name Id]])-1)))</f>
        <v/>
      </c>
      <c r="BW115" s="6" t="str">
        <f>IF(ROWS(tblVisasSorted[[#Headers],[Id]]:tblVisasSorted[[#This Row],[Id]])-1&gt;$BW$11,"",SMALL(tblVisas[Id],ROWS(tblVisasSorted[[#Headers],[Id]]:tblVisasSorted[[#This Row],[Id]])-1))</f>
        <v/>
      </c>
      <c r="BY115" s="6" t="str">
        <f t="array" ref="BY115">IF(ROWS(tblData[[#Headers],[Sorted Arr Id]]:tblData[[#This Row],[Sorted Arr Id]])-1&gt;$BY$11,"",INDEX(tblData[Sorted Arr Id],SMALL(IF(LEN(TRIM(tblData[Surname]))*(tblData[Arr DateTime]&gt;0),ROW(tblData[Sorted Arr Id])-ROW(tblData[[#Headers],[Sorted Arr Id]])),ROWS(tblData[[#Headers],[Sorted Arr Id]]:tblData[[#This Row],[Sorted Arr Id]])-1)))</f>
        <v/>
      </c>
      <c r="CA115" s="6" t="str">
        <f>IF(ROWS(tblArrivalSorted[[#Headers],[Id]]:tblArrivalSorted[[#This Row],[Id]])-1&gt;$CA$11,"",SMALL(tblArrival[Id],ROWS(tblArrivalSorted[[#Headers],[Id]]:tblArrivalSorted[[#This Row],[Id]])-1))</f>
        <v/>
      </c>
      <c r="CC115" s="6" t="str">
        <f t="array" ref="CC115">IF(ROWS(tblData[[#Headers],[Sorted Dep Id]]:tblData[[#This Row],[Sorted Dep Id]])-1&gt;$CC$11,"",INDEX(tblData[Sorted Dep Id],SMALL(IF(LEN(TRIM(tblData[Surname]))*(tblData[Dep DateTime]&gt;0),ROW(tblData[Sorted Dep Id])-ROW(tblData[[#Headers],[Sorted Dep Id]])),ROWS(tblData[[#Headers],[Sorted Dep Id]]:tblData[[#This Row],[Sorted Dep Id]])-1)))</f>
        <v/>
      </c>
      <c r="CE115" s="6" t="str">
        <f>IF(ROWS(tblDepartureSorted[[#Headers],[Id]]:tblDepartureSorted[[#This Row],[Id]])-1&gt;$CE$11,"",SMALL(tblDeparture[Id],ROWS(tblDepartureSorted[[#Headers],[Id]]:tblDepartureSorted[[#This Row],[Id]])-1))</f>
        <v/>
      </c>
      <c r="CG115" s="6" t="str">
        <f t="array" ref="CG115">IF(ROWS(tblData[[#Headers],[Id]]:tblData[[#This Row],[Id]])-1&gt;$CG$11,"",INDEX(tblData[Id],SMALL(IF(LEN(TRIM(tblData[Surname])),ROW(tblData[Id])-ROW(tblData[[#Headers],[Id]])),ROWS(tblData[[#Headers],[Id]]:tblData[[#This Row],[Id]])-1)))</f>
        <v/>
      </c>
    </row>
    <row r="116" spans="1:85" s="6" customFormat="1">
      <c r="A116" s="14">
        <f>IF(ISNUMBER(tblData[[#This Row],[SubType2]]),tblData[[#This Row],[SubType2]]*10000+tblData[[#This Row],[No]],1000000+tblData[[#This Row],[No]])</f>
        <v>1000103</v>
      </c>
      <c r="B116" s="14">
        <f>IFERROR(tblData[[#This Row],[Surname Rang]]*1000+tblData[[#This Row],[Given Name Rang]]+tblData[[#This Row],[No]]/1000,"")</f>
        <v>0.10299999999999999</v>
      </c>
      <c r="C116" s="14">
        <f>IFERROR(tblData[[#This Row],[Arr DateTime Rang]]+tblData[[#This Row],[No]]/1000,"")</f>
        <v>110.10299999999999</v>
      </c>
      <c r="D116" s="14">
        <f>IFERROR(tblData[[#This Row],[Dep DateTime Rang]]+tblData[[#This Row],[No]]/1000,"")</f>
        <v>110.10299999999999</v>
      </c>
      <c r="E116" s="362">
        <f t="shared" si="2"/>
        <v>103</v>
      </c>
      <c r="F116" s="370"/>
      <c r="G116" s="331"/>
      <c r="H116" s="328"/>
      <c r="I116" s="329"/>
      <c r="J116" s="330"/>
      <c r="K116" s="369"/>
      <c r="L116" s="375"/>
      <c r="M116" s="331"/>
      <c r="N116" s="331"/>
      <c r="O116" s="331"/>
      <c r="P116" s="329"/>
      <c r="Q116" s="376"/>
      <c r="R116" s="383"/>
      <c r="S116" s="332"/>
      <c r="T116" s="331"/>
      <c r="U116" s="333"/>
      <c r="V116" s="333"/>
      <c r="W116" s="384"/>
      <c r="X116" s="383"/>
      <c r="Y116" s="332"/>
      <c r="Z116" s="331"/>
      <c r="AA116" s="331"/>
      <c r="AB116" s="333"/>
      <c r="AC116" s="384"/>
      <c r="AD116" s="375"/>
      <c r="AE116" s="369"/>
      <c r="AF116" s="397"/>
      <c r="AG116" s="328"/>
      <c r="AH116" s="328"/>
      <c r="AI116" s="328"/>
      <c r="AJ116" s="328"/>
      <c r="AK116" s="328"/>
      <c r="AL116" s="328"/>
      <c r="AM116" s="328"/>
      <c r="AN116" s="398"/>
      <c r="AO116" s="402" t="str">
        <f>IF(ISBLANK(tblData[[#This Row],[Surname]]),"",IF(tblData[[#This Row],[Bill Accred Fee]]=0,"NO","YES"))</f>
        <v/>
      </c>
      <c r="AP116" s="406">
        <f>IF(AND(NOT(ISBLANK(tblData[[#This Row],[Surname]])),COUNTA(tblData[[#This Row],[Day 1]:[Day 9]])=0),1,0)</f>
        <v>0</v>
      </c>
      <c r="AQ116" s="406">
        <f>IF(AND(NOT(ISBLANK(tblData[[#This Row],[Surname]])),tblData[[#This Row],[Position]]="Athlete"),1,0)</f>
        <v>0</v>
      </c>
      <c r="AR116" s="433">
        <f>EntryFee*tblData[[#This Row],[Entry Fee Billable]]</f>
        <v>0</v>
      </c>
      <c r="AS116" s="410" t="e">
        <f>IF(ISBLANK(SelectedCategory),"No Cat!",IF(ISBLANK($F116),0,IFERROR(VLOOKUP(AS$12&amp;", "&amp;tblData[[#This Row],[Day 1]],tblAccommodationCosts[],5,FALSE),0)+IFERROR(VLOOKUP(AS$12&amp;", "&amp;tblData[[#This Row],[Day 2]],tblAccommodationCosts[],5,FALSE),0)+IFERROR(VLOOKUP(AS$12&amp;", "&amp;tblData[[#This Row],[Day 3]],tblAccommodationCosts[],5,FALSE),0)+IFERROR(VLOOKUP(AS$12&amp;", "&amp;tblData[[#This Row],[Day 4]],tblAccommodationCosts[],5,FALSE),0)+IFERROR(VLOOKUP(AS$12&amp;", "&amp;tblData[[#This Row],[Day 5]],tblAccommodationCosts[],5,FALSE),0)+IFERROR(VLOOKUP(AS$12&amp;", "&amp;tblData[[#This Row],[Day 6]],tblAccommodationCosts[],5,FALSE),0)+IFERROR(VLOOKUP(AS$12&amp;", "&amp;tblData[[#This Row],[Day 7]],tblAccommodationCosts[],5,FALSE),0)+IFERROR(VLOOKUP(AS$12&amp;", "&amp;tblData[[#This Row],[Day 8]],tblAccommodationCosts[],5,FALSE),0)+IFERROR(VLOOKUP(AS$12&amp;", "&amp;tblData[[#This Row],[Day 9]],tblAccommodationCosts[],5,FALSE),0)+AccreditationFee*tblData[[#This Row],[Bill Accred Fee]]))+tblData[[#This Row],[Entry Fee]]</f>
        <v>#VALUE!</v>
      </c>
      <c r="AT116" s="324" t="str">
        <f>IFERROR(VLOOKUP(tblData[[#This Row],[Weight Category, Function, and Gender]],tblWeightOrFunction[],3,0),"")</f>
        <v/>
      </c>
      <c r="AU116" s="84" t="str">
        <f>IFERROR(VLOOKUP(tblData[[#This Row],[Weight Category, Function, and Gender]],tblWeightOrFunction[],4,0),"")</f>
        <v/>
      </c>
      <c r="AV116" s="85" t="str">
        <f>IFERROR(VLOOKUP(tblData[[#This Row],[Weight Category, Function, and Gender]],tblWeightOrFunction[],7,0),"")</f>
        <v/>
      </c>
      <c r="AW116" s="84" t="str">
        <f>IFERROR(VLOOKUP(tblData[[#This Row],[Weight Category, Function, and Gender]],tblWeightOrFunction[],6,0),"")</f>
        <v/>
      </c>
      <c r="AX116" s="84" t="str">
        <f>IFERROR(VLOOKUP(tblData[[#This Row],[Weight Category, Function, and Gender]],tblWeightOrFunction[],2,0),"")</f>
        <v/>
      </c>
      <c r="AY116" s="75">
        <f>tblData[[#This Row],[Arr Date]]+tblData[[#This Row],[Arr Time]]</f>
        <v>0</v>
      </c>
      <c r="AZ116" s="75">
        <f>tblData[[#This Row],[Dep Date]]+tblData[[#This Row],[Dep Time]]</f>
        <v>0</v>
      </c>
      <c r="BA116" s="72">
        <f>COUNTIF(tblData[Surname],"&lt;="&amp;tblData[Surname])</f>
        <v>0</v>
      </c>
      <c r="BB116" s="72">
        <f>COUNTIF(tblData[Given name],"&lt;="&amp;tblData[Given name])</f>
        <v>0</v>
      </c>
      <c r="BC116" s="72">
        <f>COUNTIF(tblData[Arr DateTime],"&lt;="&amp;tblData[Arr DateTime])</f>
        <v>110</v>
      </c>
      <c r="BD116" s="72">
        <f>COUNTIF(tblData[Dep DateTime],"&lt;="&amp;tblData[Dep DateTime])</f>
        <v>110</v>
      </c>
      <c r="BE116" s="72">
        <f>COUNTIF(tblData[ShuttleAtDeparture],"&lt;="&amp;tblData[ShuttleAtDeparture])</f>
        <v>0</v>
      </c>
      <c r="BI116" s="6" t="str">
        <f t="array" ref="BI116">IF(ROWS(tblData[[#Headers],[Id]]:tblData[[#This Row],[Id]])-1&gt;$BI$11,"",INDEX(tblData[Id],SMALL(IF(LEN(TRIM(tblData[Surname]))*((tblData[Type]=$BI$9)+(tblData[Type]=$BI$10)),ROW(tblData[Id])-ROW(tblData[[#Headers],[Id]])),ROWS(tblData[[#Headers],[Id]]:tblData[[#This Row],[Id]])-1)))</f>
        <v/>
      </c>
      <c r="BK116" s="6" t="str">
        <f>IF(ROWS(tblCoachesAndOfficialsSorted[[#Headers],[Id]]:tblCoachesAndOfficialsSorted[[#This Row],[Id]])-1&gt;$BK$11,"",SMALL(tblCoachesAndOfficials[Id],ROWS(tblCoachesAndOfficialsSorted[[#Headers],[Id]]:tblCoachesAndOfficialsSorted[[#This Row],[Id]])-1))</f>
        <v/>
      </c>
      <c r="BM116" s="6" t="str">
        <f t="array" ref="BM116">IF(ROWS(tblData[[#Headers],[Id]]:tblData[[#This Row],[Id]])-1&gt;$BM$11,"",INDEX(tblData[Id],SMALL(IF(LEN(TRIM(tblData[Surname]))*(tblData[Type]=$BM$9),ROW(tblData[Id])-ROW(tblData[[#Headers],[Id]])),ROWS(tblData[[#Headers],[Id]]:tblData[[#This Row],[Id]])-1)))</f>
        <v/>
      </c>
      <c r="BO116" s="6" t="str">
        <f>IF(ROWS(tblWomenSorted[[#Headers],[Id]]:tblWomenSorted[[#This Row],[Id]])-1&gt;$BO$11,"",SMALL(tblWomen[Id],ROWS(tblWomenSorted[[#Headers],[Id]]:tblWomenSorted[[#This Row],[Id]])-1))</f>
        <v/>
      </c>
      <c r="BP116" s="17"/>
      <c r="BQ116" s="6" t="str">
        <f t="array" ref="BQ116">IF(ROWS(tblData[[#Headers],[Id]]:tblData[[#This Row],[Id]])-1&gt;$BQ$11,"",INDEX(tblData[Id],SMALL(IF(LEN(TRIM(tblData[Surname]))*(tblData[Type]=$BQ$9),ROW(tblData[Id])-ROW(tblData[[#Headers],[Id]])),ROWS(tblData[[#Headers],[Id]]:tblData[[#This Row],[Id]])-1)))</f>
        <v/>
      </c>
      <c r="BS116" s="6" t="str">
        <f>IF(ROWS(tblMenSorted[[#Headers],[Id]]:tblMenSorted[[#This Row],[Id]])-1&gt;$BS$11,"",SMALL(tblMen[Id],ROWS(tblMenSorted[[#Headers],[Id]]:tblMenSorted[[#This Row],[Id]])-1))</f>
        <v/>
      </c>
      <c r="BU116" s="6" t="str">
        <f t="array" ref="BU116">IF(ROWS(tblData[[#Headers],[Sorted Name Id]]:tblData[[#This Row],[Sorted Name Id]])-1&gt;$BU$11,"",INDEX(tblData[Sorted Name Id],SMALL(IF(LEN(TRIM(tblData[Surname]))*(tblData[Visa required]="YES"),ROW(tblData[Sorted Name Id])-ROW(tblData[[#Headers],[Sorted Name Id]])),ROWS(tblData[[#Headers],[Sorted Name Id]]:tblData[[#This Row],[Sorted Name Id]])-1)))</f>
        <v/>
      </c>
      <c r="BW116" s="6" t="str">
        <f>IF(ROWS(tblVisasSorted[[#Headers],[Id]]:tblVisasSorted[[#This Row],[Id]])-1&gt;$BW$11,"",SMALL(tblVisas[Id],ROWS(tblVisasSorted[[#Headers],[Id]]:tblVisasSorted[[#This Row],[Id]])-1))</f>
        <v/>
      </c>
      <c r="BY116" s="6" t="str">
        <f t="array" ref="BY116">IF(ROWS(tblData[[#Headers],[Sorted Arr Id]]:tblData[[#This Row],[Sorted Arr Id]])-1&gt;$BY$11,"",INDEX(tblData[Sorted Arr Id],SMALL(IF(LEN(TRIM(tblData[Surname]))*(tblData[Arr DateTime]&gt;0),ROW(tblData[Sorted Arr Id])-ROW(tblData[[#Headers],[Sorted Arr Id]])),ROWS(tblData[[#Headers],[Sorted Arr Id]]:tblData[[#This Row],[Sorted Arr Id]])-1)))</f>
        <v/>
      </c>
      <c r="CA116" s="6" t="str">
        <f>IF(ROWS(tblArrivalSorted[[#Headers],[Id]]:tblArrivalSorted[[#This Row],[Id]])-1&gt;$CA$11,"",SMALL(tblArrival[Id],ROWS(tblArrivalSorted[[#Headers],[Id]]:tblArrivalSorted[[#This Row],[Id]])-1))</f>
        <v/>
      </c>
      <c r="CC116" s="6" t="str">
        <f t="array" ref="CC116">IF(ROWS(tblData[[#Headers],[Sorted Dep Id]]:tblData[[#This Row],[Sorted Dep Id]])-1&gt;$CC$11,"",INDEX(tblData[Sorted Dep Id],SMALL(IF(LEN(TRIM(tblData[Surname]))*(tblData[Dep DateTime]&gt;0),ROW(tblData[Sorted Dep Id])-ROW(tblData[[#Headers],[Sorted Dep Id]])),ROWS(tblData[[#Headers],[Sorted Dep Id]]:tblData[[#This Row],[Sorted Dep Id]])-1)))</f>
        <v/>
      </c>
      <c r="CE116" s="6" t="str">
        <f>IF(ROWS(tblDepartureSorted[[#Headers],[Id]]:tblDepartureSorted[[#This Row],[Id]])-1&gt;$CE$11,"",SMALL(tblDeparture[Id],ROWS(tblDepartureSorted[[#Headers],[Id]]:tblDepartureSorted[[#This Row],[Id]])-1))</f>
        <v/>
      </c>
      <c r="CG116" s="6" t="str">
        <f t="array" ref="CG116">IF(ROWS(tblData[[#Headers],[Id]]:tblData[[#This Row],[Id]])-1&gt;$CG$11,"",INDEX(tblData[Id],SMALL(IF(LEN(TRIM(tblData[Surname])),ROW(tblData[Id])-ROW(tblData[[#Headers],[Id]])),ROWS(tblData[[#Headers],[Id]]:tblData[[#This Row],[Id]])-1)))</f>
        <v/>
      </c>
    </row>
    <row r="117" spans="1:85" s="6" customFormat="1">
      <c r="A117" s="14">
        <f>IF(ISNUMBER(tblData[[#This Row],[SubType2]]),tblData[[#This Row],[SubType2]]*10000+tblData[[#This Row],[No]],1000000+tblData[[#This Row],[No]])</f>
        <v>1000104</v>
      </c>
      <c r="B117" s="14">
        <f>IFERROR(tblData[[#This Row],[Surname Rang]]*1000+tblData[[#This Row],[Given Name Rang]]+tblData[[#This Row],[No]]/1000,"")</f>
        <v>0.104</v>
      </c>
      <c r="C117" s="14">
        <f>IFERROR(tblData[[#This Row],[Arr DateTime Rang]]+tblData[[#This Row],[No]]/1000,"")</f>
        <v>110.104</v>
      </c>
      <c r="D117" s="14">
        <f>IFERROR(tblData[[#This Row],[Dep DateTime Rang]]+tblData[[#This Row],[No]]/1000,"")</f>
        <v>110.104</v>
      </c>
      <c r="E117" s="362">
        <f t="shared" si="2"/>
        <v>104</v>
      </c>
      <c r="F117" s="370"/>
      <c r="G117" s="331"/>
      <c r="H117" s="328"/>
      <c r="I117" s="329"/>
      <c r="J117" s="330"/>
      <c r="K117" s="369"/>
      <c r="L117" s="375"/>
      <c r="M117" s="331"/>
      <c r="N117" s="331"/>
      <c r="O117" s="331"/>
      <c r="P117" s="329"/>
      <c r="Q117" s="376"/>
      <c r="R117" s="383"/>
      <c r="S117" s="332"/>
      <c r="T117" s="331"/>
      <c r="U117" s="333"/>
      <c r="V117" s="333"/>
      <c r="W117" s="384"/>
      <c r="X117" s="383"/>
      <c r="Y117" s="332"/>
      <c r="Z117" s="331"/>
      <c r="AA117" s="331"/>
      <c r="AB117" s="333"/>
      <c r="AC117" s="384"/>
      <c r="AD117" s="375"/>
      <c r="AE117" s="369"/>
      <c r="AF117" s="397"/>
      <c r="AG117" s="328"/>
      <c r="AH117" s="328"/>
      <c r="AI117" s="328"/>
      <c r="AJ117" s="328"/>
      <c r="AK117" s="328"/>
      <c r="AL117" s="328"/>
      <c r="AM117" s="328"/>
      <c r="AN117" s="398"/>
      <c r="AO117" s="402" t="str">
        <f>IF(ISBLANK(tblData[[#This Row],[Surname]]),"",IF(tblData[[#This Row],[Bill Accred Fee]]=0,"NO","YES"))</f>
        <v/>
      </c>
      <c r="AP117" s="406">
        <f>IF(AND(NOT(ISBLANK(tblData[[#This Row],[Surname]])),COUNTA(tblData[[#This Row],[Day 1]:[Day 9]])=0),1,0)</f>
        <v>0</v>
      </c>
      <c r="AQ117" s="406">
        <f>IF(AND(NOT(ISBLANK(tblData[[#This Row],[Surname]])),tblData[[#This Row],[Position]]="Athlete"),1,0)</f>
        <v>0</v>
      </c>
      <c r="AR117" s="433">
        <f>EntryFee*tblData[[#This Row],[Entry Fee Billable]]</f>
        <v>0</v>
      </c>
      <c r="AS117" s="410" t="e">
        <f>IF(ISBLANK(SelectedCategory),"No Cat!",IF(ISBLANK($F117),0,IFERROR(VLOOKUP(AS$12&amp;", "&amp;tblData[[#This Row],[Day 1]],tblAccommodationCosts[],5,FALSE),0)+IFERROR(VLOOKUP(AS$12&amp;", "&amp;tblData[[#This Row],[Day 2]],tblAccommodationCosts[],5,FALSE),0)+IFERROR(VLOOKUP(AS$12&amp;", "&amp;tblData[[#This Row],[Day 3]],tblAccommodationCosts[],5,FALSE),0)+IFERROR(VLOOKUP(AS$12&amp;", "&amp;tblData[[#This Row],[Day 4]],tblAccommodationCosts[],5,FALSE),0)+IFERROR(VLOOKUP(AS$12&amp;", "&amp;tblData[[#This Row],[Day 5]],tblAccommodationCosts[],5,FALSE),0)+IFERROR(VLOOKUP(AS$12&amp;", "&amp;tblData[[#This Row],[Day 6]],tblAccommodationCosts[],5,FALSE),0)+IFERROR(VLOOKUP(AS$12&amp;", "&amp;tblData[[#This Row],[Day 7]],tblAccommodationCosts[],5,FALSE),0)+IFERROR(VLOOKUP(AS$12&amp;", "&amp;tblData[[#This Row],[Day 8]],tblAccommodationCosts[],5,FALSE),0)+IFERROR(VLOOKUP(AS$12&amp;", "&amp;tblData[[#This Row],[Day 9]],tblAccommodationCosts[],5,FALSE),0)+AccreditationFee*tblData[[#This Row],[Bill Accred Fee]]))+tblData[[#This Row],[Entry Fee]]</f>
        <v>#VALUE!</v>
      </c>
      <c r="AT117" s="324" t="str">
        <f>IFERROR(VLOOKUP(tblData[[#This Row],[Weight Category, Function, and Gender]],tblWeightOrFunction[],3,0),"")</f>
        <v/>
      </c>
      <c r="AU117" s="84" t="str">
        <f>IFERROR(VLOOKUP(tblData[[#This Row],[Weight Category, Function, and Gender]],tblWeightOrFunction[],4,0),"")</f>
        <v/>
      </c>
      <c r="AV117" s="85" t="str">
        <f>IFERROR(VLOOKUP(tblData[[#This Row],[Weight Category, Function, and Gender]],tblWeightOrFunction[],7,0),"")</f>
        <v/>
      </c>
      <c r="AW117" s="84" t="str">
        <f>IFERROR(VLOOKUP(tblData[[#This Row],[Weight Category, Function, and Gender]],tblWeightOrFunction[],6,0),"")</f>
        <v/>
      </c>
      <c r="AX117" s="84" t="str">
        <f>IFERROR(VLOOKUP(tblData[[#This Row],[Weight Category, Function, and Gender]],tblWeightOrFunction[],2,0),"")</f>
        <v/>
      </c>
      <c r="AY117" s="75">
        <f>tblData[[#This Row],[Arr Date]]+tblData[[#This Row],[Arr Time]]</f>
        <v>0</v>
      </c>
      <c r="AZ117" s="75">
        <f>tblData[[#This Row],[Dep Date]]+tblData[[#This Row],[Dep Time]]</f>
        <v>0</v>
      </c>
      <c r="BA117" s="72">
        <f>COUNTIF(tblData[Surname],"&lt;="&amp;tblData[Surname])</f>
        <v>0</v>
      </c>
      <c r="BB117" s="72">
        <f>COUNTIF(tblData[Given name],"&lt;="&amp;tblData[Given name])</f>
        <v>0</v>
      </c>
      <c r="BC117" s="72">
        <f>COUNTIF(tblData[Arr DateTime],"&lt;="&amp;tblData[Arr DateTime])</f>
        <v>110</v>
      </c>
      <c r="BD117" s="72">
        <f>COUNTIF(tblData[Dep DateTime],"&lt;="&amp;tblData[Dep DateTime])</f>
        <v>110</v>
      </c>
      <c r="BE117" s="72">
        <f>COUNTIF(tblData[ShuttleAtDeparture],"&lt;="&amp;tblData[ShuttleAtDeparture])</f>
        <v>0</v>
      </c>
      <c r="BI117" s="6" t="str">
        <f t="array" ref="BI117">IF(ROWS(tblData[[#Headers],[Id]]:tblData[[#This Row],[Id]])-1&gt;$BI$11,"",INDEX(tblData[Id],SMALL(IF(LEN(TRIM(tblData[Surname]))*((tblData[Type]=$BI$9)+(tblData[Type]=$BI$10)),ROW(tblData[Id])-ROW(tblData[[#Headers],[Id]])),ROWS(tblData[[#Headers],[Id]]:tblData[[#This Row],[Id]])-1)))</f>
        <v/>
      </c>
      <c r="BK117" s="6" t="str">
        <f>IF(ROWS(tblCoachesAndOfficialsSorted[[#Headers],[Id]]:tblCoachesAndOfficialsSorted[[#This Row],[Id]])-1&gt;$BK$11,"",SMALL(tblCoachesAndOfficials[Id],ROWS(tblCoachesAndOfficialsSorted[[#Headers],[Id]]:tblCoachesAndOfficialsSorted[[#This Row],[Id]])-1))</f>
        <v/>
      </c>
      <c r="BM117" s="6" t="str">
        <f t="array" ref="BM117">IF(ROWS(tblData[[#Headers],[Id]]:tblData[[#This Row],[Id]])-1&gt;$BM$11,"",INDEX(tblData[Id],SMALL(IF(LEN(TRIM(tblData[Surname]))*(tblData[Type]=$BM$9),ROW(tblData[Id])-ROW(tblData[[#Headers],[Id]])),ROWS(tblData[[#Headers],[Id]]:tblData[[#This Row],[Id]])-1)))</f>
        <v/>
      </c>
      <c r="BO117" s="6" t="str">
        <f>IF(ROWS(tblWomenSorted[[#Headers],[Id]]:tblWomenSorted[[#This Row],[Id]])-1&gt;$BO$11,"",SMALL(tblWomen[Id],ROWS(tblWomenSorted[[#Headers],[Id]]:tblWomenSorted[[#This Row],[Id]])-1))</f>
        <v/>
      </c>
      <c r="BP117" s="17"/>
      <c r="BQ117" s="6" t="str">
        <f t="array" ref="BQ117">IF(ROWS(tblData[[#Headers],[Id]]:tblData[[#This Row],[Id]])-1&gt;$BQ$11,"",INDEX(tblData[Id],SMALL(IF(LEN(TRIM(tblData[Surname]))*(tblData[Type]=$BQ$9),ROW(tblData[Id])-ROW(tblData[[#Headers],[Id]])),ROWS(tblData[[#Headers],[Id]]:tblData[[#This Row],[Id]])-1)))</f>
        <v/>
      </c>
      <c r="BS117" s="6" t="str">
        <f>IF(ROWS(tblMenSorted[[#Headers],[Id]]:tblMenSorted[[#This Row],[Id]])-1&gt;$BS$11,"",SMALL(tblMen[Id],ROWS(tblMenSorted[[#Headers],[Id]]:tblMenSorted[[#This Row],[Id]])-1))</f>
        <v/>
      </c>
      <c r="BU117" s="6" t="str">
        <f t="array" ref="BU117">IF(ROWS(tblData[[#Headers],[Sorted Name Id]]:tblData[[#This Row],[Sorted Name Id]])-1&gt;$BU$11,"",INDEX(tblData[Sorted Name Id],SMALL(IF(LEN(TRIM(tblData[Surname]))*(tblData[Visa required]="YES"),ROW(tblData[Sorted Name Id])-ROW(tblData[[#Headers],[Sorted Name Id]])),ROWS(tblData[[#Headers],[Sorted Name Id]]:tblData[[#This Row],[Sorted Name Id]])-1)))</f>
        <v/>
      </c>
      <c r="BW117" s="6" t="str">
        <f>IF(ROWS(tblVisasSorted[[#Headers],[Id]]:tblVisasSorted[[#This Row],[Id]])-1&gt;$BW$11,"",SMALL(tblVisas[Id],ROWS(tblVisasSorted[[#Headers],[Id]]:tblVisasSorted[[#This Row],[Id]])-1))</f>
        <v/>
      </c>
      <c r="BY117" s="6" t="str">
        <f t="array" ref="BY117">IF(ROWS(tblData[[#Headers],[Sorted Arr Id]]:tblData[[#This Row],[Sorted Arr Id]])-1&gt;$BY$11,"",INDEX(tblData[Sorted Arr Id],SMALL(IF(LEN(TRIM(tblData[Surname]))*(tblData[Arr DateTime]&gt;0),ROW(tblData[Sorted Arr Id])-ROW(tblData[[#Headers],[Sorted Arr Id]])),ROWS(tblData[[#Headers],[Sorted Arr Id]]:tblData[[#This Row],[Sorted Arr Id]])-1)))</f>
        <v/>
      </c>
      <c r="CA117" s="6" t="str">
        <f>IF(ROWS(tblArrivalSorted[[#Headers],[Id]]:tblArrivalSorted[[#This Row],[Id]])-1&gt;$CA$11,"",SMALL(tblArrival[Id],ROWS(tblArrivalSorted[[#Headers],[Id]]:tblArrivalSorted[[#This Row],[Id]])-1))</f>
        <v/>
      </c>
      <c r="CC117" s="6" t="str">
        <f t="array" ref="CC117">IF(ROWS(tblData[[#Headers],[Sorted Dep Id]]:tblData[[#This Row],[Sorted Dep Id]])-1&gt;$CC$11,"",INDEX(tblData[Sorted Dep Id],SMALL(IF(LEN(TRIM(tblData[Surname]))*(tblData[Dep DateTime]&gt;0),ROW(tblData[Sorted Dep Id])-ROW(tblData[[#Headers],[Sorted Dep Id]])),ROWS(tblData[[#Headers],[Sorted Dep Id]]:tblData[[#This Row],[Sorted Dep Id]])-1)))</f>
        <v/>
      </c>
      <c r="CE117" s="6" t="str">
        <f>IF(ROWS(tblDepartureSorted[[#Headers],[Id]]:tblDepartureSorted[[#This Row],[Id]])-1&gt;$CE$11,"",SMALL(tblDeparture[Id],ROWS(tblDepartureSorted[[#Headers],[Id]]:tblDepartureSorted[[#This Row],[Id]])-1))</f>
        <v/>
      </c>
      <c r="CG117" s="6" t="str">
        <f t="array" ref="CG117">IF(ROWS(tblData[[#Headers],[Id]]:tblData[[#This Row],[Id]])-1&gt;$CG$11,"",INDEX(tblData[Id],SMALL(IF(LEN(TRIM(tblData[Surname])),ROW(tblData[Id])-ROW(tblData[[#Headers],[Id]])),ROWS(tblData[[#Headers],[Id]]:tblData[[#This Row],[Id]])-1)))</f>
        <v/>
      </c>
    </row>
    <row r="118" spans="1:85" s="6" customFormat="1">
      <c r="A118" s="14">
        <f>IF(ISNUMBER(tblData[[#This Row],[SubType2]]),tblData[[#This Row],[SubType2]]*10000+tblData[[#This Row],[No]],1000000+tblData[[#This Row],[No]])</f>
        <v>1000105</v>
      </c>
      <c r="B118" s="14">
        <f>IFERROR(tblData[[#This Row],[Surname Rang]]*1000+tblData[[#This Row],[Given Name Rang]]+tblData[[#This Row],[No]]/1000,"")</f>
        <v>0.105</v>
      </c>
      <c r="C118" s="14">
        <f>IFERROR(tblData[[#This Row],[Arr DateTime Rang]]+tblData[[#This Row],[No]]/1000,"")</f>
        <v>110.105</v>
      </c>
      <c r="D118" s="14">
        <f>IFERROR(tblData[[#This Row],[Dep DateTime Rang]]+tblData[[#This Row],[No]]/1000,"")</f>
        <v>110.105</v>
      </c>
      <c r="E118" s="362">
        <f t="shared" si="2"/>
        <v>105</v>
      </c>
      <c r="F118" s="370"/>
      <c r="G118" s="331"/>
      <c r="H118" s="328"/>
      <c r="I118" s="329"/>
      <c r="J118" s="330"/>
      <c r="K118" s="369"/>
      <c r="L118" s="375"/>
      <c r="M118" s="331"/>
      <c r="N118" s="331"/>
      <c r="O118" s="331"/>
      <c r="P118" s="329"/>
      <c r="Q118" s="376"/>
      <c r="R118" s="383"/>
      <c r="S118" s="332"/>
      <c r="T118" s="331"/>
      <c r="U118" s="333"/>
      <c r="V118" s="333"/>
      <c r="W118" s="384"/>
      <c r="X118" s="383"/>
      <c r="Y118" s="332"/>
      <c r="Z118" s="331"/>
      <c r="AA118" s="331"/>
      <c r="AB118" s="333"/>
      <c r="AC118" s="384"/>
      <c r="AD118" s="375"/>
      <c r="AE118" s="369"/>
      <c r="AF118" s="397"/>
      <c r="AG118" s="328"/>
      <c r="AH118" s="328"/>
      <c r="AI118" s="328"/>
      <c r="AJ118" s="328"/>
      <c r="AK118" s="328"/>
      <c r="AL118" s="328"/>
      <c r="AM118" s="328"/>
      <c r="AN118" s="398"/>
      <c r="AO118" s="402" t="str">
        <f>IF(ISBLANK(tblData[[#This Row],[Surname]]),"",IF(tblData[[#This Row],[Bill Accred Fee]]=0,"NO","YES"))</f>
        <v/>
      </c>
      <c r="AP118" s="406">
        <f>IF(AND(NOT(ISBLANK(tblData[[#This Row],[Surname]])),COUNTA(tblData[[#This Row],[Day 1]:[Day 9]])=0),1,0)</f>
        <v>0</v>
      </c>
      <c r="AQ118" s="406">
        <f>IF(AND(NOT(ISBLANK(tblData[[#This Row],[Surname]])),tblData[[#This Row],[Position]]="Athlete"),1,0)</f>
        <v>0</v>
      </c>
      <c r="AR118" s="433">
        <f>EntryFee*tblData[[#This Row],[Entry Fee Billable]]</f>
        <v>0</v>
      </c>
      <c r="AS118" s="410" t="e">
        <f>IF(ISBLANK(SelectedCategory),"No Cat!",IF(ISBLANK($F118),0,IFERROR(VLOOKUP(AS$12&amp;", "&amp;tblData[[#This Row],[Day 1]],tblAccommodationCosts[],5,FALSE),0)+IFERROR(VLOOKUP(AS$12&amp;", "&amp;tblData[[#This Row],[Day 2]],tblAccommodationCosts[],5,FALSE),0)+IFERROR(VLOOKUP(AS$12&amp;", "&amp;tblData[[#This Row],[Day 3]],tblAccommodationCosts[],5,FALSE),0)+IFERROR(VLOOKUP(AS$12&amp;", "&amp;tblData[[#This Row],[Day 4]],tblAccommodationCosts[],5,FALSE),0)+IFERROR(VLOOKUP(AS$12&amp;", "&amp;tblData[[#This Row],[Day 5]],tblAccommodationCosts[],5,FALSE),0)+IFERROR(VLOOKUP(AS$12&amp;", "&amp;tblData[[#This Row],[Day 6]],tblAccommodationCosts[],5,FALSE),0)+IFERROR(VLOOKUP(AS$12&amp;", "&amp;tblData[[#This Row],[Day 7]],tblAccommodationCosts[],5,FALSE),0)+IFERROR(VLOOKUP(AS$12&amp;", "&amp;tblData[[#This Row],[Day 8]],tblAccommodationCosts[],5,FALSE),0)+IFERROR(VLOOKUP(AS$12&amp;", "&amp;tblData[[#This Row],[Day 9]],tblAccommodationCosts[],5,FALSE),0)+AccreditationFee*tblData[[#This Row],[Bill Accred Fee]]))+tblData[[#This Row],[Entry Fee]]</f>
        <v>#VALUE!</v>
      </c>
      <c r="AT118" s="324" t="str">
        <f>IFERROR(VLOOKUP(tblData[[#This Row],[Weight Category, Function, and Gender]],tblWeightOrFunction[],3,0),"")</f>
        <v/>
      </c>
      <c r="AU118" s="84" t="str">
        <f>IFERROR(VLOOKUP(tblData[[#This Row],[Weight Category, Function, and Gender]],tblWeightOrFunction[],4,0),"")</f>
        <v/>
      </c>
      <c r="AV118" s="85" t="str">
        <f>IFERROR(VLOOKUP(tblData[[#This Row],[Weight Category, Function, and Gender]],tblWeightOrFunction[],7,0),"")</f>
        <v/>
      </c>
      <c r="AW118" s="84" t="str">
        <f>IFERROR(VLOOKUP(tblData[[#This Row],[Weight Category, Function, and Gender]],tblWeightOrFunction[],6,0),"")</f>
        <v/>
      </c>
      <c r="AX118" s="84" t="str">
        <f>IFERROR(VLOOKUP(tblData[[#This Row],[Weight Category, Function, and Gender]],tblWeightOrFunction[],2,0),"")</f>
        <v/>
      </c>
      <c r="AY118" s="75">
        <f>tblData[[#This Row],[Arr Date]]+tblData[[#This Row],[Arr Time]]</f>
        <v>0</v>
      </c>
      <c r="AZ118" s="75">
        <f>tblData[[#This Row],[Dep Date]]+tblData[[#This Row],[Dep Time]]</f>
        <v>0</v>
      </c>
      <c r="BA118" s="72">
        <f>COUNTIF(tblData[Surname],"&lt;="&amp;tblData[Surname])</f>
        <v>0</v>
      </c>
      <c r="BB118" s="72">
        <f>COUNTIF(tblData[Given name],"&lt;="&amp;tblData[Given name])</f>
        <v>0</v>
      </c>
      <c r="BC118" s="72">
        <f>COUNTIF(tblData[Arr DateTime],"&lt;="&amp;tblData[Arr DateTime])</f>
        <v>110</v>
      </c>
      <c r="BD118" s="72">
        <f>COUNTIF(tblData[Dep DateTime],"&lt;="&amp;tblData[Dep DateTime])</f>
        <v>110</v>
      </c>
      <c r="BE118" s="72">
        <f>COUNTIF(tblData[ShuttleAtDeparture],"&lt;="&amp;tblData[ShuttleAtDeparture])</f>
        <v>0</v>
      </c>
      <c r="BI118" s="6" t="str">
        <f t="array" ref="BI118">IF(ROWS(tblData[[#Headers],[Id]]:tblData[[#This Row],[Id]])-1&gt;$BI$11,"",INDEX(tblData[Id],SMALL(IF(LEN(TRIM(tblData[Surname]))*((tblData[Type]=$BI$9)+(tblData[Type]=$BI$10)),ROW(tblData[Id])-ROW(tblData[[#Headers],[Id]])),ROWS(tblData[[#Headers],[Id]]:tblData[[#This Row],[Id]])-1)))</f>
        <v/>
      </c>
      <c r="BK118" s="6" t="str">
        <f>IF(ROWS(tblCoachesAndOfficialsSorted[[#Headers],[Id]]:tblCoachesAndOfficialsSorted[[#This Row],[Id]])-1&gt;$BK$11,"",SMALL(tblCoachesAndOfficials[Id],ROWS(tblCoachesAndOfficialsSorted[[#Headers],[Id]]:tblCoachesAndOfficialsSorted[[#This Row],[Id]])-1))</f>
        <v/>
      </c>
      <c r="BM118" s="6" t="str">
        <f t="array" ref="BM118">IF(ROWS(tblData[[#Headers],[Id]]:tblData[[#This Row],[Id]])-1&gt;$BM$11,"",INDEX(tblData[Id],SMALL(IF(LEN(TRIM(tblData[Surname]))*(tblData[Type]=$BM$9),ROW(tblData[Id])-ROW(tblData[[#Headers],[Id]])),ROWS(tblData[[#Headers],[Id]]:tblData[[#This Row],[Id]])-1)))</f>
        <v/>
      </c>
      <c r="BO118" s="6" t="str">
        <f>IF(ROWS(tblWomenSorted[[#Headers],[Id]]:tblWomenSorted[[#This Row],[Id]])-1&gt;$BO$11,"",SMALL(tblWomen[Id],ROWS(tblWomenSorted[[#Headers],[Id]]:tblWomenSorted[[#This Row],[Id]])-1))</f>
        <v/>
      </c>
      <c r="BP118" s="17"/>
      <c r="BQ118" s="6" t="str">
        <f t="array" ref="BQ118">IF(ROWS(tblData[[#Headers],[Id]]:tblData[[#This Row],[Id]])-1&gt;$BQ$11,"",INDEX(tblData[Id],SMALL(IF(LEN(TRIM(tblData[Surname]))*(tblData[Type]=$BQ$9),ROW(tblData[Id])-ROW(tblData[[#Headers],[Id]])),ROWS(tblData[[#Headers],[Id]]:tblData[[#This Row],[Id]])-1)))</f>
        <v/>
      </c>
      <c r="BS118" s="6" t="str">
        <f>IF(ROWS(tblMenSorted[[#Headers],[Id]]:tblMenSorted[[#This Row],[Id]])-1&gt;$BS$11,"",SMALL(tblMen[Id],ROWS(tblMenSorted[[#Headers],[Id]]:tblMenSorted[[#This Row],[Id]])-1))</f>
        <v/>
      </c>
      <c r="BU118" s="6" t="str">
        <f t="array" ref="BU118">IF(ROWS(tblData[[#Headers],[Sorted Name Id]]:tblData[[#This Row],[Sorted Name Id]])-1&gt;$BU$11,"",INDEX(tblData[Sorted Name Id],SMALL(IF(LEN(TRIM(tblData[Surname]))*(tblData[Visa required]="YES"),ROW(tblData[Sorted Name Id])-ROW(tblData[[#Headers],[Sorted Name Id]])),ROWS(tblData[[#Headers],[Sorted Name Id]]:tblData[[#This Row],[Sorted Name Id]])-1)))</f>
        <v/>
      </c>
      <c r="BW118" s="6" t="str">
        <f>IF(ROWS(tblVisasSorted[[#Headers],[Id]]:tblVisasSorted[[#This Row],[Id]])-1&gt;$BW$11,"",SMALL(tblVisas[Id],ROWS(tblVisasSorted[[#Headers],[Id]]:tblVisasSorted[[#This Row],[Id]])-1))</f>
        <v/>
      </c>
      <c r="BY118" s="6" t="str">
        <f t="array" ref="BY118">IF(ROWS(tblData[[#Headers],[Sorted Arr Id]]:tblData[[#This Row],[Sorted Arr Id]])-1&gt;$BY$11,"",INDEX(tblData[Sorted Arr Id],SMALL(IF(LEN(TRIM(tblData[Surname]))*(tblData[Arr DateTime]&gt;0),ROW(tblData[Sorted Arr Id])-ROW(tblData[[#Headers],[Sorted Arr Id]])),ROWS(tblData[[#Headers],[Sorted Arr Id]]:tblData[[#This Row],[Sorted Arr Id]])-1)))</f>
        <v/>
      </c>
      <c r="CA118" s="6" t="str">
        <f>IF(ROWS(tblArrivalSorted[[#Headers],[Id]]:tblArrivalSorted[[#This Row],[Id]])-1&gt;$CA$11,"",SMALL(tblArrival[Id],ROWS(tblArrivalSorted[[#Headers],[Id]]:tblArrivalSorted[[#This Row],[Id]])-1))</f>
        <v/>
      </c>
      <c r="CC118" s="6" t="str">
        <f t="array" ref="CC118">IF(ROWS(tblData[[#Headers],[Sorted Dep Id]]:tblData[[#This Row],[Sorted Dep Id]])-1&gt;$CC$11,"",INDEX(tblData[Sorted Dep Id],SMALL(IF(LEN(TRIM(tblData[Surname]))*(tblData[Dep DateTime]&gt;0),ROW(tblData[Sorted Dep Id])-ROW(tblData[[#Headers],[Sorted Dep Id]])),ROWS(tblData[[#Headers],[Sorted Dep Id]]:tblData[[#This Row],[Sorted Dep Id]])-1)))</f>
        <v/>
      </c>
      <c r="CE118" s="6" t="str">
        <f>IF(ROWS(tblDepartureSorted[[#Headers],[Id]]:tblDepartureSorted[[#This Row],[Id]])-1&gt;$CE$11,"",SMALL(tblDeparture[Id],ROWS(tblDepartureSorted[[#Headers],[Id]]:tblDepartureSorted[[#This Row],[Id]])-1))</f>
        <v/>
      </c>
      <c r="CG118" s="6" t="str">
        <f t="array" ref="CG118">IF(ROWS(tblData[[#Headers],[Id]]:tblData[[#This Row],[Id]])-1&gt;$CG$11,"",INDEX(tblData[Id],SMALL(IF(LEN(TRIM(tblData[Surname])),ROW(tblData[Id])-ROW(tblData[[#Headers],[Id]])),ROWS(tblData[[#Headers],[Id]]:tblData[[#This Row],[Id]])-1)))</f>
        <v/>
      </c>
    </row>
    <row r="119" spans="1:85" s="6" customFormat="1">
      <c r="A119" s="14">
        <f>IF(ISNUMBER(tblData[[#This Row],[SubType2]]),tblData[[#This Row],[SubType2]]*10000+tblData[[#This Row],[No]],1000000+tblData[[#This Row],[No]])</f>
        <v>1000106</v>
      </c>
      <c r="B119" s="14">
        <f>IFERROR(tblData[[#This Row],[Surname Rang]]*1000+tblData[[#This Row],[Given Name Rang]]+tblData[[#This Row],[No]]/1000,"")</f>
        <v>0.106</v>
      </c>
      <c r="C119" s="14">
        <f>IFERROR(tblData[[#This Row],[Arr DateTime Rang]]+tblData[[#This Row],[No]]/1000,"")</f>
        <v>110.10599999999999</v>
      </c>
      <c r="D119" s="14">
        <f>IFERROR(tblData[[#This Row],[Dep DateTime Rang]]+tblData[[#This Row],[No]]/1000,"")</f>
        <v>110.10599999999999</v>
      </c>
      <c r="E119" s="362">
        <f t="shared" si="2"/>
        <v>106</v>
      </c>
      <c r="F119" s="370"/>
      <c r="G119" s="331"/>
      <c r="H119" s="328"/>
      <c r="I119" s="329"/>
      <c r="J119" s="330"/>
      <c r="K119" s="369"/>
      <c r="L119" s="375"/>
      <c r="M119" s="331"/>
      <c r="N119" s="331"/>
      <c r="O119" s="331"/>
      <c r="P119" s="329"/>
      <c r="Q119" s="376"/>
      <c r="R119" s="383"/>
      <c r="S119" s="332"/>
      <c r="T119" s="331"/>
      <c r="U119" s="333"/>
      <c r="V119" s="333"/>
      <c r="W119" s="384"/>
      <c r="X119" s="383"/>
      <c r="Y119" s="332"/>
      <c r="Z119" s="331"/>
      <c r="AA119" s="331"/>
      <c r="AB119" s="333"/>
      <c r="AC119" s="384"/>
      <c r="AD119" s="375"/>
      <c r="AE119" s="369"/>
      <c r="AF119" s="397"/>
      <c r="AG119" s="328"/>
      <c r="AH119" s="328"/>
      <c r="AI119" s="328"/>
      <c r="AJ119" s="328"/>
      <c r="AK119" s="328"/>
      <c r="AL119" s="328"/>
      <c r="AM119" s="328"/>
      <c r="AN119" s="398"/>
      <c r="AO119" s="402" t="str">
        <f>IF(ISBLANK(tblData[[#This Row],[Surname]]),"",IF(tblData[[#This Row],[Bill Accred Fee]]=0,"NO","YES"))</f>
        <v/>
      </c>
      <c r="AP119" s="406">
        <f>IF(AND(NOT(ISBLANK(tblData[[#This Row],[Surname]])),COUNTA(tblData[[#This Row],[Day 1]:[Day 9]])=0),1,0)</f>
        <v>0</v>
      </c>
      <c r="AQ119" s="406">
        <f>IF(AND(NOT(ISBLANK(tblData[[#This Row],[Surname]])),tblData[[#This Row],[Position]]="Athlete"),1,0)</f>
        <v>0</v>
      </c>
      <c r="AR119" s="433">
        <f>EntryFee*tblData[[#This Row],[Entry Fee Billable]]</f>
        <v>0</v>
      </c>
      <c r="AS119" s="410" t="e">
        <f>IF(ISBLANK(SelectedCategory),"No Cat!",IF(ISBLANK($F119),0,IFERROR(VLOOKUP(AS$12&amp;", "&amp;tblData[[#This Row],[Day 1]],tblAccommodationCosts[],5,FALSE),0)+IFERROR(VLOOKUP(AS$12&amp;", "&amp;tblData[[#This Row],[Day 2]],tblAccommodationCosts[],5,FALSE),0)+IFERROR(VLOOKUP(AS$12&amp;", "&amp;tblData[[#This Row],[Day 3]],tblAccommodationCosts[],5,FALSE),0)+IFERROR(VLOOKUP(AS$12&amp;", "&amp;tblData[[#This Row],[Day 4]],tblAccommodationCosts[],5,FALSE),0)+IFERROR(VLOOKUP(AS$12&amp;", "&amp;tblData[[#This Row],[Day 5]],tblAccommodationCosts[],5,FALSE),0)+IFERROR(VLOOKUP(AS$12&amp;", "&amp;tblData[[#This Row],[Day 6]],tblAccommodationCosts[],5,FALSE),0)+IFERROR(VLOOKUP(AS$12&amp;", "&amp;tblData[[#This Row],[Day 7]],tblAccommodationCosts[],5,FALSE),0)+IFERROR(VLOOKUP(AS$12&amp;", "&amp;tblData[[#This Row],[Day 8]],tblAccommodationCosts[],5,FALSE),0)+IFERROR(VLOOKUP(AS$12&amp;", "&amp;tblData[[#This Row],[Day 9]],tblAccommodationCosts[],5,FALSE),0)+AccreditationFee*tblData[[#This Row],[Bill Accred Fee]]))+tblData[[#This Row],[Entry Fee]]</f>
        <v>#VALUE!</v>
      </c>
      <c r="AT119" s="324" t="str">
        <f>IFERROR(VLOOKUP(tblData[[#This Row],[Weight Category, Function, and Gender]],tblWeightOrFunction[],3,0),"")</f>
        <v/>
      </c>
      <c r="AU119" s="84" t="str">
        <f>IFERROR(VLOOKUP(tblData[[#This Row],[Weight Category, Function, and Gender]],tblWeightOrFunction[],4,0),"")</f>
        <v/>
      </c>
      <c r="AV119" s="85" t="str">
        <f>IFERROR(VLOOKUP(tblData[[#This Row],[Weight Category, Function, and Gender]],tblWeightOrFunction[],7,0),"")</f>
        <v/>
      </c>
      <c r="AW119" s="84" t="str">
        <f>IFERROR(VLOOKUP(tblData[[#This Row],[Weight Category, Function, and Gender]],tblWeightOrFunction[],6,0),"")</f>
        <v/>
      </c>
      <c r="AX119" s="84" t="str">
        <f>IFERROR(VLOOKUP(tblData[[#This Row],[Weight Category, Function, and Gender]],tblWeightOrFunction[],2,0),"")</f>
        <v/>
      </c>
      <c r="AY119" s="75">
        <f>tblData[[#This Row],[Arr Date]]+tblData[[#This Row],[Arr Time]]</f>
        <v>0</v>
      </c>
      <c r="AZ119" s="75">
        <f>tblData[[#This Row],[Dep Date]]+tblData[[#This Row],[Dep Time]]</f>
        <v>0</v>
      </c>
      <c r="BA119" s="72">
        <f>COUNTIF(tblData[Surname],"&lt;="&amp;tblData[Surname])</f>
        <v>0</v>
      </c>
      <c r="BB119" s="72">
        <f>COUNTIF(tblData[Given name],"&lt;="&amp;tblData[Given name])</f>
        <v>0</v>
      </c>
      <c r="BC119" s="72">
        <f>COUNTIF(tblData[Arr DateTime],"&lt;="&amp;tblData[Arr DateTime])</f>
        <v>110</v>
      </c>
      <c r="BD119" s="72">
        <f>COUNTIF(tblData[Dep DateTime],"&lt;="&amp;tblData[Dep DateTime])</f>
        <v>110</v>
      </c>
      <c r="BE119" s="72">
        <f>COUNTIF(tblData[ShuttleAtDeparture],"&lt;="&amp;tblData[ShuttleAtDeparture])</f>
        <v>0</v>
      </c>
      <c r="BI119" s="6" t="str">
        <f t="array" ref="BI119">IF(ROWS(tblData[[#Headers],[Id]]:tblData[[#This Row],[Id]])-1&gt;$BI$11,"",INDEX(tblData[Id],SMALL(IF(LEN(TRIM(tblData[Surname]))*((tblData[Type]=$BI$9)+(tblData[Type]=$BI$10)),ROW(tblData[Id])-ROW(tblData[[#Headers],[Id]])),ROWS(tblData[[#Headers],[Id]]:tblData[[#This Row],[Id]])-1)))</f>
        <v/>
      </c>
      <c r="BK119" s="6" t="str">
        <f>IF(ROWS(tblCoachesAndOfficialsSorted[[#Headers],[Id]]:tblCoachesAndOfficialsSorted[[#This Row],[Id]])-1&gt;$BK$11,"",SMALL(tblCoachesAndOfficials[Id],ROWS(tblCoachesAndOfficialsSorted[[#Headers],[Id]]:tblCoachesAndOfficialsSorted[[#This Row],[Id]])-1))</f>
        <v/>
      </c>
      <c r="BM119" s="6" t="str">
        <f t="array" ref="BM119">IF(ROWS(tblData[[#Headers],[Id]]:tblData[[#This Row],[Id]])-1&gt;$BM$11,"",INDEX(tblData[Id],SMALL(IF(LEN(TRIM(tblData[Surname]))*(tblData[Type]=$BM$9),ROW(tblData[Id])-ROW(tblData[[#Headers],[Id]])),ROWS(tblData[[#Headers],[Id]]:tblData[[#This Row],[Id]])-1)))</f>
        <v/>
      </c>
      <c r="BO119" s="6" t="str">
        <f>IF(ROWS(tblWomenSorted[[#Headers],[Id]]:tblWomenSorted[[#This Row],[Id]])-1&gt;$BO$11,"",SMALL(tblWomen[Id],ROWS(tblWomenSorted[[#Headers],[Id]]:tblWomenSorted[[#This Row],[Id]])-1))</f>
        <v/>
      </c>
      <c r="BP119" s="17"/>
      <c r="BQ119" s="6" t="str">
        <f t="array" ref="BQ119">IF(ROWS(tblData[[#Headers],[Id]]:tblData[[#This Row],[Id]])-1&gt;$BQ$11,"",INDEX(tblData[Id],SMALL(IF(LEN(TRIM(tblData[Surname]))*(tblData[Type]=$BQ$9),ROW(tblData[Id])-ROW(tblData[[#Headers],[Id]])),ROWS(tblData[[#Headers],[Id]]:tblData[[#This Row],[Id]])-1)))</f>
        <v/>
      </c>
      <c r="BS119" s="6" t="str">
        <f>IF(ROWS(tblMenSorted[[#Headers],[Id]]:tblMenSorted[[#This Row],[Id]])-1&gt;$BS$11,"",SMALL(tblMen[Id],ROWS(tblMenSorted[[#Headers],[Id]]:tblMenSorted[[#This Row],[Id]])-1))</f>
        <v/>
      </c>
      <c r="BU119" s="6" t="str">
        <f t="array" ref="BU119">IF(ROWS(tblData[[#Headers],[Sorted Name Id]]:tblData[[#This Row],[Sorted Name Id]])-1&gt;$BU$11,"",INDEX(tblData[Sorted Name Id],SMALL(IF(LEN(TRIM(tblData[Surname]))*(tblData[Visa required]="YES"),ROW(tblData[Sorted Name Id])-ROW(tblData[[#Headers],[Sorted Name Id]])),ROWS(tblData[[#Headers],[Sorted Name Id]]:tblData[[#This Row],[Sorted Name Id]])-1)))</f>
        <v/>
      </c>
      <c r="BW119" s="6" t="str">
        <f>IF(ROWS(tblVisasSorted[[#Headers],[Id]]:tblVisasSorted[[#This Row],[Id]])-1&gt;$BW$11,"",SMALL(tblVisas[Id],ROWS(tblVisasSorted[[#Headers],[Id]]:tblVisasSorted[[#This Row],[Id]])-1))</f>
        <v/>
      </c>
      <c r="BY119" s="6" t="str">
        <f t="array" ref="BY119">IF(ROWS(tblData[[#Headers],[Sorted Arr Id]]:tblData[[#This Row],[Sorted Arr Id]])-1&gt;$BY$11,"",INDEX(tblData[Sorted Arr Id],SMALL(IF(LEN(TRIM(tblData[Surname]))*(tblData[Arr DateTime]&gt;0),ROW(tblData[Sorted Arr Id])-ROW(tblData[[#Headers],[Sorted Arr Id]])),ROWS(tblData[[#Headers],[Sorted Arr Id]]:tblData[[#This Row],[Sorted Arr Id]])-1)))</f>
        <v/>
      </c>
      <c r="CA119" s="6" t="str">
        <f>IF(ROWS(tblArrivalSorted[[#Headers],[Id]]:tblArrivalSorted[[#This Row],[Id]])-1&gt;$CA$11,"",SMALL(tblArrival[Id],ROWS(tblArrivalSorted[[#Headers],[Id]]:tblArrivalSorted[[#This Row],[Id]])-1))</f>
        <v/>
      </c>
      <c r="CC119" s="6" t="str">
        <f t="array" ref="CC119">IF(ROWS(tblData[[#Headers],[Sorted Dep Id]]:tblData[[#This Row],[Sorted Dep Id]])-1&gt;$CC$11,"",INDEX(tblData[Sorted Dep Id],SMALL(IF(LEN(TRIM(tblData[Surname]))*(tblData[Dep DateTime]&gt;0),ROW(tblData[Sorted Dep Id])-ROW(tblData[[#Headers],[Sorted Dep Id]])),ROWS(tblData[[#Headers],[Sorted Dep Id]]:tblData[[#This Row],[Sorted Dep Id]])-1)))</f>
        <v/>
      </c>
      <c r="CE119" s="6" t="str">
        <f>IF(ROWS(tblDepartureSorted[[#Headers],[Id]]:tblDepartureSorted[[#This Row],[Id]])-1&gt;$CE$11,"",SMALL(tblDeparture[Id],ROWS(tblDepartureSorted[[#Headers],[Id]]:tblDepartureSorted[[#This Row],[Id]])-1))</f>
        <v/>
      </c>
      <c r="CG119" s="6" t="str">
        <f t="array" ref="CG119">IF(ROWS(tblData[[#Headers],[Id]]:tblData[[#This Row],[Id]])-1&gt;$CG$11,"",INDEX(tblData[Id],SMALL(IF(LEN(TRIM(tblData[Surname])),ROW(tblData[Id])-ROW(tblData[[#Headers],[Id]])),ROWS(tblData[[#Headers],[Id]]:tblData[[#This Row],[Id]])-1)))</f>
        <v/>
      </c>
    </row>
    <row r="120" spans="1:85" s="6" customFormat="1">
      <c r="A120" s="14">
        <f>IF(ISNUMBER(tblData[[#This Row],[SubType2]]),tblData[[#This Row],[SubType2]]*10000+tblData[[#This Row],[No]],1000000+tblData[[#This Row],[No]])</f>
        <v>1000107</v>
      </c>
      <c r="B120" s="14">
        <f>IFERROR(tblData[[#This Row],[Surname Rang]]*1000+tblData[[#This Row],[Given Name Rang]]+tblData[[#This Row],[No]]/1000,"")</f>
        <v>0.107</v>
      </c>
      <c r="C120" s="14">
        <f>IFERROR(tblData[[#This Row],[Arr DateTime Rang]]+tblData[[#This Row],[No]]/1000,"")</f>
        <v>110.107</v>
      </c>
      <c r="D120" s="14">
        <f>IFERROR(tblData[[#This Row],[Dep DateTime Rang]]+tblData[[#This Row],[No]]/1000,"")</f>
        <v>110.107</v>
      </c>
      <c r="E120" s="362">
        <f t="shared" si="2"/>
        <v>107</v>
      </c>
      <c r="F120" s="370"/>
      <c r="G120" s="331"/>
      <c r="H120" s="328"/>
      <c r="I120" s="329"/>
      <c r="J120" s="330"/>
      <c r="K120" s="369"/>
      <c r="L120" s="375"/>
      <c r="M120" s="331"/>
      <c r="N120" s="331"/>
      <c r="O120" s="331"/>
      <c r="P120" s="329"/>
      <c r="Q120" s="376"/>
      <c r="R120" s="383"/>
      <c r="S120" s="332"/>
      <c r="T120" s="331"/>
      <c r="U120" s="333"/>
      <c r="V120" s="333"/>
      <c r="W120" s="384"/>
      <c r="X120" s="383"/>
      <c r="Y120" s="332"/>
      <c r="Z120" s="331"/>
      <c r="AA120" s="331"/>
      <c r="AB120" s="333"/>
      <c r="AC120" s="384"/>
      <c r="AD120" s="375"/>
      <c r="AE120" s="369"/>
      <c r="AF120" s="397"/>
      <c r="AG120" s="328"/>
      <c r="AH120" s="328"/>
      <c r="AI120" s="328"/>
      <c r="AJ120" s="328"/>
      <c r="AK120" s="328"/>
      <c r="AL120" s="328"/>
      <c r="AM120" s="328"/>
      <c r="AN120" s="398"/>
      <c r="AO120" s="402" t="str">
        <f>IF(ISBLANK(tblData[[#This Row],[Surname]]),"",IF(tblData[[#This Row],[Bill Accred Fee]]=0,"NO","YES"))</f>
        <v/>
      </c>
      <c r="AP120" s="406">
        <f>IF(AND(NOT(ISBLANK(tblData[[#This Row],[Surname]])),COUNTA(tblData[[#This Row],[Day 1]:[Day 9]])=0),1,0)</f>
        <v>0</v>
      </c>
      <c r="AQ120" s="406">
        <f>IF(AND(NOT(ISBLANK(tblData[[#This Row],[Surname]])),tblData[[#This Row],[Position]]="Athlete"),1,0)</f>
        <v>0</v>
      </c>
      <c r="AR120" s="433">
        <f>EntryFee*tblData[[#This Row],[Entry Fee Billable]]</f>
        <v>0</v>
      </c>
      <c r="AS120" s="410" t="e">
        <f>IF(ISBLANK(SelectedCategory),"No Cat!",IF(ISBLANK($F120),0,IFERROR(VLOOKUP(AS$12&amp;", "&amp;tblData[[#This Row],[Day 1]],tblAccommodationCosts[],5,FALSE),0)+IFERROR(VLOOKUP(AS$12&amp;", "&amp;tblData[[#This Row],[Day 2]],tblAccommodationCosts[],5,FALSE),0)+IFERROR(VLOOKUP(AS$12&amp;", "&amp;tblData[[#This Row],[Day 3]],tblAccommodationCosts[],5,FALSE),0)+IFERROR(VLOOKUP(AS$12&amp;", "&amp;tblData[[#This Row],[Day 4]],tblAccommodationCosts[],5,FALSE),0)+IFERROR(VLOOKUP(AS$12&amp;", "&amp;tblData[[#This Row],[Day 5]],tblAccommodationCosts[],5,FALSE),0)+IFERROR(VLOOKUP(AS$12&amp;", "&amp;tblData[[#This Row],[Day 6]],tblAccommodationCosts[],5,FALSE),0)+IFERROR(VLOOKUP(AS$12&amp;", "&amp;tblData[[#This Row],[Day 7]],tblAccommodationCosts[],5,FALSE),0)+IFERROR(VLOOKUP(AS$12&amp;", "&amp;tblData[[#This Row],[Day 8]],tblAccommodationCosts[],5,FALSE),0)+IFERROR(VLOOKUP(AS$12&amp;", "&amp;tblData[[#This Row],[Day 9]],tblAccommodationCosts[],5,FALSE),0)+AccreditationFee*tblData[[#This Row],[Bill Accred Fee]]))+tblData[[#This Row],[Entry Fee]]</f>
        <v>#VALUE!</v>
      </c>
      <c r="AT120" s="324" t="str">
        <f>IFERROR(VLOOKUP(tblData[[#This Row],[Weight Category, Function, and Gender]],tblWeightOrFunction[],3,0),"")</f>
        <v/>
      </c>
      <c r="AU120" s="84" t="str">
        <f>IFERROR(VLOOKUP(tblData[[#This Row],[Weight Category, Function, and Gender]],tblWeightOrFunction[],4,0),"")</f>
        <v/>
      </c>
      <c r="AV120" s="85" t="str">
        <f>IFERROR(VLOOKUP(tblData[[#This Row],[Weight Category, Function, and Gender]],tblWeightOrFunction[],7,0),"")</f>
        <v/>
      </c>
      <c r="AW120" s="84" t="str">
        <f>IFERROR(VLOOKUP(tblData[[#This Row],[Weight Category, Function, and Gender]],tblWeightOrFunction[],6,0),"")</f>
        <v/>
      </c>
      <c r="AX120" s="84" t="str">
        <f>IFERROR(VLOOKUP(tblData[[#This Row],[Weight Category, Function, and Gender]],tblWeightOrFunction[],2,0),"")</f>
        <v/>
      </c>
      <c r="AY120" s="75">
        <f>tblData[[#This Row],[Arr Date]]+tblData[[#This Row],[Arr Time]]</f>
        <v>0</v>
      </c>
      <c r="AZ120" s="75">
        <f>tblData[[#This Row],[Dep Date]]+tblData[[#This Row],[Dep Time]]</f>
        <v>0</v>
      </c>
      <c r="BA120" s="72">
        <f>COUNTIF(tblData[Surname],"&lt;="&amp;tblData[Surname])</f>
        <v>0</v>
      </c>
      <c r="BB120" s="72">
        <f>COUNTIF(tblData[Given name],"&lt;="&amp;tblData[Given name])</f>
        <v>0</v>
      </c>
      <c r="BC120" s="72">
        <f>COUNTIF(tblData[Arr DateTime],"&lt;="&amp;tblData[Arr DateTime])</f>
        <v>110</v>
      </c>
      <c r="BD120" s="72">
        <f>COUNTIF(tblData[Dep DateTime],"&lt;="&amp;tblData[Dep DateTime])</f>
        <v>110</v>
      </c>
      <c r="BE120" s="72">
        <f>COUNTIF(tblData[ShuttleAtDeparture],"&lt;="&amp;tblData[ShuttleAtDeparture])</f>
        <v>0</v>
      </c>
      <c r="BI120" s="6" t="str">
        <f t="array" ref="BI120">IF(ROWS(tblData[[#Headers],[Id]]:tblData[[#This Row],[Id]])-1&gt;$BI$11,"",INDEX(tblData[Id],SMALL(IF(LEN(TRIM(tblData[Surname]))*((tblData[Type]=$BI$9)+(tblData[Type]=$BI$10)),ROW(tblData[Id])-ROW(tblData[[#Headers],[Id]])),ROWS(tblData[[#Headers],[Id]]:tblData[[#This Row],[Id]])-1)))</f>
        <v/>
      </c>
      <c r="BK120" s="6" t="str">
        <f>IF(ROWS(tblCoachesAndOfficialsSorted[[#Headers],[Id]]:tblCoachesAndOfficialsSorted[[#This Row],[Id]])-1&gt;$BK$11,"",SMALL(tblCoachesAndOfficials[Id],ROWS(tblCoachesAndOfficialsSorted[[#Headers],[Id]]:tblCoachesAndOfficialsSorted[[#This Row],[Id]])-1))</f>
        <v/>
      </c>
      <c r="BM120" s="6" t="str">
        <f t="array" ref="BM120">IF(ROWS(tblData[[#Headers],[Id]]:tblData[[#This Row],[Id]])-1&gt;$BM$11,"",INDEX(tblData[Id],SMALL(IF(LEN(TRIM(tblData[Surname]))*(tblData[Type]=$BM$9),ROW(tblData[Id])-ROW(tblData[[#Headers],[Id]])),ROWS(tblData[[#Headers],[Id]]:tblData[[#This Row],[Id]])-1)))</f>
        <v/>
      </c>
      <c r="BO120" s="6" t="str">
        <f>IF(ROWS(tblWomenSorted[[#Headers],[Id]]:tblWomenSorted[[#This Row],[Id]])-1&gt;$BO$11,"",SMALL(tblWomen[Id],ROWS(tblWomenSorted[[#Headers],[Id]]:tblWomenSorted[[#This Row],[Id]])-1))</f>
        <v/>
      </c>
      <c r="BP120" s="17"/>
      <c r="BQ120" s="6" t="str">
        <f t="array" ref="BQ120">IF(ROWS(tblData[[#Headers],[Id]]:tblData[[#This Row],[Id]])-1&gt;$BQ$11,"",INDEX(tblData[Id],SMALL(IF(LEN(TRIM(tblData[Surname]))*(tblData[Type]=$BQ$9),ROW(tblData[Id])-ROW(tblData[[#Headers],[Id]])),ROWS(tblData[[#Headers],[Id]]:tblData[[#This Row],[Id]])-1)))</f>
        <v/>
      </c>
      <c r="BS120" s="6" t="str">
        <f>IF(ROWS(tblMenSorted[[#Headers],[Id]]:tblMenSorted[[#This Row],[Id]])-1&gt;$BS$11,"",SMALL(tblMen[Id],ROWS(tblMenSorted[[#Headers],[Id]]:tblMenSorted[[#This Row],[Id]])-1))</f>
        <v/>
      </c>
      <c r="BU120" s="6" t="str">
        <f t="array" ref="BU120">IF(ROWS(tblData[[#Headers],[Sorted Name Id]]:tblData[[#This Row],[Sorted Name Id]])-1&gt;$BU$11,"",INDEX(tblData[Sorted Name Id],SMALL(IF(LEN(TRIM(tblData[Surname]))*(tblData[Visa required]="YES"),ROW(tblData[Sorted Name Id])-ROW(tblData[[#Headers],[Sorted Name Id]])),ROWS(tblData[[#Headers],[Sorted Name Id]]:tblData[[#This Row],[Sorted Name Id]])-1)))</f>
        <v/>
      </c>
      <c r="BW120" s="6" t="str">
        <f>IF(ROWS(tblVisasSorted[[#Headers],[Id]]:tblVisasSorted[[#This Row],[Id]])-1&gt;$BW$11,"",SMALL(tblVisas[Id],ROWS(tblVisasSorted[[#Headers],[Id]]:tblVisasSorted[[#This Row],[Id]])-1))</f>
        <v/>
      </c>
      <c r="BY120" s="6" t="str">
        <f t="array" ref="BY120">IF(ROWS(tblData[[#Headers],[Sorted Arr Id]]:tblData[[#This Row],[Sorted Arr Id]])-1&gt;$BY$11,"",INDEX(tblData[Sorted Arr Id],SMALL(IF(LEN(TRIM(tblData[Surname]))*(tblData[Arr DateTime]&gt;0),ROW(tblData[Sorted Arr Id])-ROW(tblData[[#Headers],[Sorted Arr Id]])),ROWS(tblData[[#Headers],[Sorted Arr Id]]:tblData[[#This Row],[Sorted Arr Id]])-1)))</f>
        <v/>
      </c>
      <c r="CA120" s="6" t="str">
        <f>IF(ROWS(tblArrivalSorted[[#Headers],[Id]]:tblArrivalSorted[[#This Row],[Id]])-1&gt;$CA$11,"",SMALL(tblArrival[Id],ROWS(tblArrivalSorted[[#Headers],[Id]]:tblArrivalSorted[[#This Row],[Id]])-1))</f>
        <v/>
      </c>
      <c r="CC120" s="6" t="str">
        <f t="array" ref="CC120">IF(ROWS(tblData[[#Headers],[Sorted Dep Id]]:tblData[[#This Row],[Sorted Dep Id]])-1&gt;$CC$11,"",INDEX(tblData[Sorted Dep Id],SMALL(IF(LEN(TRIM(tblData[Surname]))*(tblData[Dep DateTime]&gt;0),ROW(tblData[Sorted Dep Id])-ROW(tblData[[#Headers],[Sorted Dep Id]])),ROWS(tblData[[#Headers],[Sorted Dep Id]]:tblData[[#This Row],[Sorted Dep Id]])-1)))</f>
        <v/>
      </c>
      <c r="CE120" s="6" t="str">
        <f>IF(ROWS(tblDepartureSorted[[#Headers],[Id]]:tblDepartureSorted[[#This Row],[Id]])-1&gt;$CE$11,"",SMALL(tblDeparture[Id],ROWS(tblDepartureSorted[[#Headers],[Id]]:tblDepartureSorted[[#This Row],[Id]])-1))</f>
        <v/>
      </c>
      <c r="CG120" s="6" t="str">
        <f t="array" ref="CG120">IF(ROWS(tblData[[#Headers],[Id]]:tblData[[#This Row],[Id]])-1&gt;$CG$11,"",INDEX(tblData[Id],SMALL(IF(LEN(TRIM(tblData[Surname])),ROW(tblData[Id])-ROW(tblData[[#Headers],[Id]])),ROWS(tblData[[#Headers],[Id]]:tblData[[#This Row],[Id]])-1)))</f>
        <v/>
      </c>
    </row>
    <row r="121" spans="1:85" s="6" customFormat="1">
      <c r="A121" s="14">
        <f>IF(ISNUMBER(tblData[[#This Row],[SubType2]]),tblData[[#This Row],[SubType2]]*10000+tblData[[#This Row],[No]],1000000+tblData[[#This Row],[No]])</f>
        <v>1000108</v>
      </c>
      <c r="B121" s="14">
        <f>IFERROR(tblData[[#This Row],[Surname Rang]]*1000+tblData[[#This Row],[Given Name Rang]]+tblData[[#This Row],[No]]/1000,"")</f>
        <v>0.108</v>
      </c>
      <c r="C121" s="14">
        <f>IFERROR(tblData[[#This Row],[Arr DateTime Rang]]+tblData[[#This Row],[No]]/1000,"")</f>
        <v>110.108</v>
      </c>
      <c r="D121" s="14">
        <f>IFERROR(tblData[[#This Row],[Dep DateTime Rang]]+tblData[[#This Row],[No]]/1000,"")</f>
        <v>110.108</v>
      </c>
      <c r="E121" s="362">
        <f t="shared" si="2"/>
        <v>108</v>
      </c>
      <c r="F121" s="370"/>
      <c r="G121" s="331"/>
      <c r="H121" s="328"/>
      <c r="I121" s="329"/>
      <c r="J121" s="330"/>
      <c r="K121" s="369"/>
      <c r="L121" s="375"/>
      <c r="M121" s="331"/>
      <c r="N121" s="331"/>
      <c r="O121" s="331"/>
      <c r="P121" s="329"/>
      <c r="Q121" s="376"/>
      <c r="R121" s="383"/>
      <c r="S121" s="332"/>
      <c r="T121" s="331"/>
      <c r="U121" s="333"/>
      <c r="V121" s="333"/>
      <c r="W121" s="384"/>
      <c r="X121" s="383"/>
      <c r="Y121" s="332"/>
      <c r="Z121" s="331"/>
      <c r="AA121" s="331"/>
      <c r="AB121" s="333"/>
      <c r="AC121" s="384"/>
      <c r="AD121" s="375"/>
      <c r="AE121" s="369"/>
      <c r="AF121" s="397"/>
      <c r="AG121" s="328"/>
      <c r="AH121" s="328"/>
      <c r="AI121" s="328"/>
      <c r="AJ121" s="328"/>
      <c r="AK121" s="328"/>
      <c r="AL121" s="328"/>
      <c r="AM121" s="328"/>
      <c r="AN121" s="398"/>
      <c r="AO121" s="402" t="str">
        <f>IF(ISBLANK(tblData[[#This Row],[Surname]]),"",IF(tblData[[#This Row],[Bill Accred Fee]]=0,"NO","YES"))</f>
        <v/>
      </c>
      <c r="AP121" s="406">
        <f>IF(AND(NOT(ISBLANK(tblData[[#This Row],[Surname]])),COUNTA(tblData[[#This Row],[Day 1]:[Day 9]])=0),1,0)</f>
        <v>0</v>
      </c>
      <c r="AQ121" s="406">
        <f>IF(AND(NOT(ISBLANK(tblData[[#This Row],[Surname]])),tblData[[#This Row],[Position]]="Athlete"),1,0)</f>
        <v>0</v>
      </c>
      <c r="AR121" s="433">
        <f>EntryFee*tblData[[#This Row],[Entry Fee Billable]]</f>
        <v>0</v>
      </c>
      <c r="AS121" s="410" t="e">
        <f>IF(ISBLANK(SelectedCategory),"No Cat!",IF(ISBLANK($F121),0,IFERROR(VLOOKUP(AS$12&amp;", "&amp;tblData[[#This Row],[Day 1]],tblAccommodationCosts[],5,FALSE),0)+IFERROR(VLOOKUP(AS$12&amp;", "&amp;tblData[[#This Row],[Day 2]],tblAccommodationCosts[],5,FALSE),0)+IFERROR(VLOOKUP(AS$12&amp;", "&amp;tblData[[#This Row],[Day 3]],tblAccommodationCosts[],5,FALSE),0)+IFERROR(VLOOKUP(AS$12&amp;", "&amp;tblData[[#This Row],[Day 4]],tblAccommodationCosts[],5,FALSE),0)+IFERROR(VLOOKUP(AS$12&amp;", "&amp;tblData[[#This Row],[Day 5]],tblAccommodationCosts[],5,FALSE),0)+IFERROR(VLOOKUP(AS$12&amp;", "&amp;tblData[[#This Row],[Day 6]],tblAccommodationCosts[],5,FALSE),0)+IFERROR(VLOOKUP(AS$12&amp;", "&amp;tblData[[#This Row],[Day 7]],tblAccommodationCosts[],5,FALSE),0)+IFERROR(VLOOKUP(AS$12&amp;", "&amp;tblData[[#This Row],[Day 8]],tblAccommodationCosts[],5,FALSE),0)+IFERROR(VLOOKUP(AS$12&amp;", "&amp;tblData[[#This Row],[Day 9]],tblAccommodationCosts[],5,FALSE),0)+AccreditationFee*tblData[[#This Row],[Bill Accred Fee]]))+tblData[[#This Row],[Entry Fee]]</f>
        <v>#VALUE!</v>
      </c>
      <c r="AT121" s="324" t="str">
        <f>IFERROR(VLOOKUP(tblData[[#This Row],[Weight Category, Function, and Gender]],tblWeightOrFunction[],3,0),"")</f>
        <v/>
      </c>
      <c r="AU121" s="84" t="str">
        <f>IFERROR(VLOOKUP(tblData[[#This Row],[Weight Category, Function, and Gender]],tblWeightOrFunction[],4,0),"")</f>
        <v/>
      </c>
      <c r="AV121" s="85" t="str">
        <f>IFERROR(VLOOKUP(tblData[[#This Row],[Weight Category, Function, and Gender]],tblWeightOrFunction[],7,0),"")</f>
        <v/>
      </c>
      <c r="AW121" s="84" t="str">
        <f>IFERROR(VLOOKUP(tblData[[#This Row],[Weight Category, Function, and Gender]],tblWeightOrFunction[],6,0),"")</f>
        <v/>
      </c>
      <c r="AX121" s="84" t="str">
        <f>IFERROR(VLOOKUP(tblData[[#This Row],[Weight Category, Function, and Gender]],tblWeightOrFunction[],2,0),"")</f>
        <v/>
      </c>
      <c r="AY121" s="75">
        <f>tblData[[#This Row],[Arr Date]]+tblData[[#This Row],[Arr Time]]</f>
        <v>0</v>
      </c>
      <c r="AZ121" s="75">
        <f>tblData[[#This Row],[Dep Date]]+tblData[[#This Row],[Dep Time]]</f>
        <v>0</v>
      </c>
      <c r="BA121" s="72">
        <f>COUNTIF(tblData[Surname],"&lt;="&amp;tblData[Surname])</f>
        <v>0</v>
      </c>
      <c r="BB121" s="72">
        <f>COUNTIF(tblData[Given name],"&lt;="&amp;tblData[Given name])</f>
        <v>0</v>
      </c>
      <c r="BC121" s="72">
        <f>COUNTIF(tblData[Arr DateTime],"&lt;="&amp;tblData[Arr DateTime])</f>
        <v>110</v>
      </c>
      <c r="BD121" s="72">
        <f>COUNTIF(tblData[Dep DateTime],"&lt;="&amp;tblData[Dep DateTime])</f>
        <v>110</v>
      </c>
      <c r="BE121" s="72">
        <f>COUNTIF(tblData[ShuttleAtDeparture],"&lt;="&amp;tblData[ShuttleAtDeparture])</f>
        <v>0</v>
      </c>
      <c r="BI121" s="6" t="str">
        <f t="array" ref="BI121">IF(ROWS(tblData[[#Headers],[Id]]:tblData[[#This Row],[Id]])-1&gt;$BI$11,"",INDEX(tblData[Id],SMALL(IF(LEN(TRIM(tblData[Surname]))*((tblData[Type]=$BI$9)+(tblData[Type]=$BI$10)),ROW(tblData[Id])-ROW(tblData[[#Headers],[Id]])),ROWS(tblData[[#Headers],[Id]]:tblData[[#This Row],[Id]])-1)))</f>
        <v/>
      </c>
      <c r="BK121" s="6" t="str">
        <f>IF(ROWS(tblCoachesAndOfficialsSorted[[#Headers],[Id]]:tblCoachesAndOfficialsSorted[[#This Row],[Id]])-1&gt;$BK$11,"",SMALL(tblCoachesAndOfficials[Id],ROWS(tblCoachesAndOfficialsSorted[[#Headers],[Id]]:tblCoachesAndOfficialsSorted[[#This Row],[Id]])-1))</f>
        <v/>
      </c>
      <c r="BM121" s="6" t="str">
        <f t="array" ref="BM121">IF(ROWS(tblData[[#Headers],[Id]]:tblData[[#This Row],[Id]])-1&gt;$BM$11,"",INDEX(tblData[Id],SMALL(IF(LEN(TRIM(tblData[Surname]))*(tblData[Type]=$BM$9),ROW(tblData[Id])-ROW(tblData[[#Headers],[Id]])),ROWS(tblData[[#Headers],[Id]]:tblData[[#This Row],[Id]])-1)))</f>
        <v/>
      </c>
      <c r="BO121" s="6" t="str">
        <f>IF(ROWS(tblWomenSorted[[#Headers],[Id]]:tblWomenSorted[[#This Row],[Id]])-1&gt;$BO$11,"",SMALL(tblWomen[Id],ROWS(tblWomenSorted[[#Headers],[Id]]:tblWomenSorted[[#This Row],[Id]])-1))</f>
        <v/>
      </c>
      <c r="BP121" s="17"/>
      <c r="BQ121" s="6" t="str">
        <f t="array" ref="BQ121">IF(ROWS(tblData[[#Headers],[Id]]:tblData[[#This Row],[Id]])-1&gt;$BQ$11,"",INDEX(tblData[Id],SMALL(IF(LEN(TRIM(tblData[Surname]))*(tblData[Type]=$BQ$9),ROW(tblData[Id])-ROW(tblData[[#Headers],[Id]])),ROWS(tblData[[#Headers],[Id]]:tblData[[#This Row],[Id]])-1)))</f>
        <v/>
      </c>
      <c r="BS121" s="6" t="str">
        <f>IF(ROWS(tblMenSorted[[#Headers],[Id]]:tblMenSorted[[#This Row],[Id]])-1&gt;$BS$11,"",SMALL(tblMen[Id],ROWS(tblMenSorted[[#Headers],[Id]]:tblMenSorted[[#This Row],[Id]])-1))</f>
        <v/>
      </c>
      <c r="BU121" s="6" t="str">
        <f t="array" ref="BU121">IF(ROWS(tblData[[#Headers],[Sorted Name Id]]:tblData[[#This Row],[Sorted Name Id]])-1&gt;$BU$11,"",INDEX(tblData[Sorted Name Id],SMALL(IF(LEN(TRIM(tblData[Surname]))*(tblData[Visa required]="YES"),ROW(tblData[Sorted Name Id])-ROW(tblData[[#Headers],[Sorted Name Id]])),ROWS(tblData[[#Headers],[Sorted Name Id]]:tblData[[#This Row],[Sorted Name Id]])-1)))</f>
        <v/>
      </c>
      <c r="BW121" s="6" t="str">
        <f>IF(ROWS(tblVisasSorted[[#Headers],[Id]]:tblVisasSorted[[#This Row],[Id]])-1&gt;$BW$11,"",SMALL(tblVisas[Id],ROWS(tblVisasSorted[[#Headers],[Id]]:tblVisasSorted[[#This Row],[Id]])-1))</f>
        <v/>
      </c>
      <c r="BY121" s="6" t="str">
        <f t="array" ref="BY121">IF(ROWS(tblData[[#Headers],[Sorted Arr Id]]:tblData[[#This Row],[Sorted Arr Id]])-1&gt;$BY$11,"",INDEX(tblData[Sorted Arr Id],SMALL(IF(LEN(TRIM(tblData[Surname]))*(tblData[Arr DateTime]&gt;0),ROW(tblData[Sorted Arr Id])-ROW(tblData[[#Headers],[Sorted Arr Id]])),ROWS(tblData[[#Headers],[Sorted Arr Id]]:tblData[[#This Row],[Sorted Arr Id]])-1)))</f>
        <v/>
      </c>
      <c r="CA121" s="6" t="str">
        <f>IF(ROWS(tblArrivalSorted[[#Headers],[Id]]:tblArrivalSorted[[#This Row],[Id]])-1&gt;$CA$11,"",SMALL(tblArrival[Id],ROWS(tblArrivalSorted[[#Headers],[Id]]:tblArrivalSorted[[#This Row],[Id]])-1))</f>
        <v/>
      </c>
      <c r="CC121" s="6" t="str">
        <f t="array" ref="CC121">IF(ROWS(tblData[[#Headers],[Sorted Dep Id]]:tblData[[#This Row],[Sorted Dep Id]])-1&gt;$CC$11,"",INDEX(tblData[Sorted Dep Id],SMALL(IF(LEN(TRIM(tblData[Surname]))*(tblData[Dep DateTime]&gt;0),ROW(tblData[Sorted Dep Id])-ROW(tblData[[#Headers],[Sorted Dep Id]])),ROWS(tblData[[#Headers],[Sorted Dep Id]]:tblData[[#This Row],[Sorted Dep Id]])-1)))</f>
        <v/>
      </c>
      <c r="CE121" s="6" t="str">
        <f>IF(ROWS(tblDepartureSorted[[#Headers],[Id]]:tblDepartureSorted[[#This Row],[Id]])-1&gt;$CE$11,"",SMALL(tblDeparture[Id],ROWS(tblDepartureSorted[[#Headers],[Id]]:tblDepartureSorted[[#This Row],[Id]])-1))</f>
        <v/>
      </c>
      <c r="CG121" s="6" t="str">
        <f t="array" ref="CG121">IF(ROWS(tblData[[#Headers],[Id]]:tblData[[#This Row],[Id]])-1&gt;$CG$11,"",INDEX(tblData[Id],SMALL(IF(LEN(TRIM(tblData[Surname])),ROW(tblData[Id])-ROW(tblData[[#Headers],[Id]])),ROWS(tblData[[#Headers],[Id]]:tblData[[#This Row],[Id]])-1)))</f>
        <v/>
      </c>
    </row>
    <row r="122" spans="1:85" s="6" customFormat="1">
      <c r="A122" s="14">
        <f>IF(ISNUMBER(tblData[[#This Row],[SubType2]]),tblData[[#This Row],[SubType2]]*10000+tblData[[#This Row],[No]],1000000+tblData[[#This Row],[No]])</f>
        <v>1000109</v>
      </c>
      <c r="B122" s="14">
        <f>IFERROR(tblData[[#This Row],[Surname Rang]]*1000+tblData[[#This Row],[Given Name Rang]]+tblData[[#This Row],[No]]/1000,"")</f>
        <v>0.109</v>
      </c>
      <c r="C122" s="14">
        <f>IFERROR(tblData[[#This Row],[Arr DateTime Rang]]+tblData[[#This Row],[No]]/1000,"")</f>
        <v>110.10899999999999</v>
      </c>
      <c r="D122" s="14">
        <f>IFERROR(tblData[[#This Row],[Dep DateTime Rang]]+tblData[[#This Row],[No]]/1000,"")</f>
        <v>110.10899999999999</v>
      </c>
      <c r="E122" s="362">
        <f t="shared" si="2"/>
        <v>109</v>
      </c>
      <c r="F122" s="370"/>
      <c r="G122" s="331"/>
      <c r="H122" s="328"/>
      <c r="I122" s="329"/>
      <c r="J122" s="330"/>
      <c r="K122" s="369"/>
      <c r="L122" s="375"/>
      <c r="M122" s="331"/>
      <c r="N122" s="331"/>
      <c r="O122" s="331"/>
      <c r="P122" s="329"/>
      <c r="Q122" s="376"/>
      <c r="R122" s="383"/>
      <c r="S122" s="332"/>
      <c r="T122" s="331"/>
      <c r="U122" s="333"/>
      <c r="V122" s="333"/>
      <c r="W122" s="384"/>
      <c r="X122" s="383"/>
      <c r="Y122" s="332"/>
      <c r="Z122" s="331"/>
      <c r="AA122" s="331"/>
      <c r="AB122" s="333"/>
      <c r="AC122" s="384"/>
      <c r="AD122" s="375"/>
      <c r="AE122" s="369"/>
      <c r="AF122" s="397"/>
      <c r="AG122" s="328"/>
      <c r="AH122" s="328"/>
      <c r="AI122" s="328"/>
      <c r="AJ122" s="328"/>
      <c r="AK122" s="328"/>
      <c r="AL122" s="328"/>
      <c r="AM122" s="328"/>
      <c r="AN122" s="398"/>
      <c r="AO122" s="402" t="str">
        <f>IF(ISBLANK(tblData[[#This Row],[Surname]]),"",IF(tblData[[#This Row],[Bill Accred Fee]]=0,"NO","YES"))</f>
        <v/>
      </c>
      <c r="AP122" s="406">
        <f>IF(AND(NOT(ISBLANK(tblData[[#This Row],[Surname]])),COUNTA(tblData[[#This Row],[Day 1]:[Day 9]])=0),1,0)</f>
        <v>0</v>
      </c>
      <c r="AQ122" s="406">
        <f>IF(AND(NOT(ISBLANK(tblData[[#This Row],[Surname]])),tblData[[#This Row],[Position]]="Athlete"),1,0)</f>
        <v>0</v>
      </c>
      <c r="AR122" s="433">
        <f>EntryFee*tblData[[#This Row],[Entry Fee Billable]]</f>
        <v>0</v>
      </c>
      <c r="AS122" s="410" t="e">
        <f>IF(ISBLANK(SelectedCategory),"No Cat!",IF(ISBLANK($F122),0,IFERROR(VLOOKUP(AS$12&amp;", "&amp;tblData[[#This Row],[Day 1]],tblAccommodationCosts[],5,FALSE),0)+IFERROR(VLOOKUP(AS$12&amp;", "&amp;tblData[[#This Row],[Day 2]],tblAccommodationCosts[],5,FALSE),0)+IFERROR(VLOOKUP(AS$12&amp;", "&amp;tblData[[#This Row],[Day 3]],tblAccommodationCosts[],5,FALSE),0)+IFERROR(VLOOKUP(AS$12&amp;", "&amp;tblData[[#This Row],[Day 4]],tblAccommodationCosts[],5,FALSE),0)+IFERROR(VLOOKUP(AS$12&amp;", "&amp;tblData[[#This Row],[Day 5]],tblAccommodationCosts[],5,FALSE),0)+IFERROR(VLOOKUP(AS$12&amp;", "&amp;tblData[[#This Row],[Day 6]],tblAccommodationCosts[],5,FALSE),0)+IFERROR(VLOOKUP(AS$12&amp;", "&amp;tblData[[#This Row],[Day 7]],tblAccommodationCosts[],5,FALSE),0)+IFERROR(VLOOKUP(AS$12&amp;", "&amp;tblData[[#This Row],[Day 8]],tblAccommodationCosts[],5,FALSE),0)+IFERROR(VLOOKUP(AS$12&amp;", "&amp;tblData[[#This Row],[Day 9]],tblAccommodationCosts[],5,FALSE),0)+AccreditationFee*tblData[[#This Row],[Bill Accred Fee]]))+tblData[[#This Row],[Entry Fee]]</f>
        <v>#VALUE!</v>
      </c>
      <c r="AT122" s="324" t="str">
        <f>IFERROR(VLOOKUP(tblData[[#This Row],[Weight Category, Function, and Gender]],tblWeightOrFunction[],3,0),"")</f>
        <v/>
      </c>
      <c r="AU122" s="84" t="str">
        <f>IFERROR(VLOOKUP(tblData[[#This Row],[Weight Category, Function, and Gender]],tblWeightOrFunction[],4,0),"")</f>
        <v/>
      </c>
      <c r="AV122" s="85" t="str">
        <f>IFERROR(VLOOKUP(tblData[[#This Row],[Weight Category, Function, and Gender]],tblWeightOrFunction[],7,0),"")</f>
        <v/>
      </c>
      <c r="AW122" s="84" t="str">
        <f>IFERROR(VLOOKUP(tblData[[#This Row],[Weight Category, Function, and Gender]],tblWeightOrFunction[],6,0),"")</f>
        <v/>
      </c>
      <c r="AX122" s="84" t="str">
        <f>IFERROR(VLOOKUP(tblData[[#This Row],[Weight Category, Function, and Gender]],tblWeightOrFunction[],2,0),"")</f>
        <v/>
      </c>
      <c r="AY122" s="75">
        <f>tblData[[#This Row],[Arr Date]]+tblData[[#This Row],[Arr Time]]</f>
        <v>0</v>
      </c>
      <c r="AZ122" s="75">
        <f>tblData[[#This Row],[Dep Date]]+tblData[[#This Row],[Dep Time]]</f>
        <v>0</v>
      </c>
      <c r="BA122" s="72">
        <f>COUNTIF(tblData[Surname],"&lt;="&amp;tblData[Surname])</f>
        <v>0</v>
      </c>
      <c r="BB122" s="72">
        <f>COUNTIF(tblData[Given name],"&lt;="&amp;tblData[Given name])</f>
        <v>0</v>
      </c>
      <c r="BC122" s="72">
        <f>COUNTIF(tblData[Arr DateTime],"&lt;="&amp;tblData[Arr DateTime])</f>
        <v>110</v>
      </c>
      <c r="BD122" s="72">
        <f>COUNTIF(tblData[Dep DateTime],"&lt;="&amp;tblData[Dep DateTime])</f>
        <v>110</v>
      </c>
      <c r="BE122" s="72">
        <f>COUNTIF(tblData[ShuttleAtDeparture],"&lt;="&amp;tblData[ShuttleAtDeparture])</f>
        <v>0</v>
      </c>
      <c r="BI122" s="6" t="str">
        <f t="array" ref="BI122">IF(ROWS(tblData[[#Headers],[Id]]:tblData[[#This Row],[Id]])-1&gt;$BI$11,"",INDEX(tblData[Id],SMALL(IF(LEN(TRIM(tblData[Surname]))*((tblData[Type]=$BI$9)+(tblData[Type]=$BI$10)),ROW(tblData[Id])-ROW(tblData[[#Headers],[Id]])),ROWS(tblData[[#Headers],[Id]]:tblData[[#This Row],[Id]])-1)))</f>
        <v/>
      </c>
      <c r="BK122" s="6" t="str">
        <f>IF(ROWS(tblCoachesAndOfficialsSorted[[#Headers],[Id]]:tblCoachesAndOfficialsSorted[[#This Row],[Id]])-1&gt;$BK$11,"",SMALL(tblCoachesAndOfficials[Id],ROWS(tblCoachesAndOfficialsSorted[[#Headers],[Id]]:tblCoachesAndOfficialsSorted[[#This Row],[Id]])-1))</f>
        <v/>
      </c>
      <c r="BM122" s="6" t="str">
        <f t="array" ref="BM122">IF(ROWS(tblData[[#Headers],[Id]]:tblData[[#This Row],[Id]])-1&gt;$BM$11,"",INDEX(tblData[Id],SMALL(IF(LEN(TRIM(tblData[Surname]))*(tblData[Type]=$BM$9),ROW(tblData[Id])-ROW(tblData[[#Headers],[Id]])),ROWS(tblData[[#Headers],[Id]]:tblData[[#This Row],[Id]])-1)))</f>
        <v/>
      </c>
      <c r="BO122" s="6" t="str">
        <f>IF(ROWS(tblWomenSorted[[#Headers],[Id]]:tblWomenSorted[[#This Row],[Id]])-1&gt;$BO$11,"",SMALL(tblWomen[Id],ROWS(tblWomenSorted[[#Headers],[Id]]:tblWomenSorted[[#This Row],[Id]])-1))</f>
        <v/>
      </c>
      <c r="BP122" s="17"/>
      <c r="BQ122" s="6" t="str">
        <f t="array" ref="BQ122">IF(ROWS(tblData[[#Headers],[Id]]:tblData[[#This Row],[Id]])-1&gt;$BQ$11,"",INDEX(tblData[Id],SMALL(IF(LEN(TRIM(tblData[Surname]))*(tblData[Type]=$BQ$9),ROW(tblData[Id])-ROW(tblData[[#Headers],[Id]])),ROWS(tblData[[#Headers],[Id]]:tblData[[#This Row],[Id]])-1)))</f>
        <v/>
      </c>
      <c r="BS122" s="6" t="str">
        <f>IF(ROWS(tblMenSorted[[#Headers],[Id]]:tblMenSorted[[#This Row],[Id]])-1&gt;$BS$11,"",SMALL(tblMen[Id],ROWS(tblMenSorted[[#Headers],[Id]]:tblMenSorted[[#This Row],[Id]])-1))</f>
        <v/>
      </c>
      <c r="BU122" s="6" t="str">
        <f t="array" ref="BU122">IF(ROWS(tblData[[#Headers],[Sorted Name Id]]:tblData[[#This Row],[Sorted Name Id]])-1&gt;$BU$11,"",INDEX(tblData[Sorted Name Id],SMALL(IF(LEN(TRIM(tblData[Surname]))*(tblData[Visa required]="YES"),ROW(tblData[Sorted Name Id])-ROW(tblData[[#Headers],[Sorted Name Id]])),ROWS(tblData[[#Headers],[Sorted Name Id]]:tblData[[#This Row],[Sorted Name Id]])-1)))</f>
        <v/>
      </c>
      <c r="BW122" s="6" t="str">
        <f>IF(ROWS(tblVisasSorted[[#Headers],[Id]]:tblVisasSorted[[#This Row],[Id]])-1&gt;$BW$11,"",SMALL(tblVisas[Id],ROWS(tblVisasSorted[[#Headers],[Id]]:tblVisasSorted[[#This Row],[Id]])-1))</f>
        <v/>
      </c>
      <c r="BY122" s="6" t="str">
        <f t="array" ref="BY122">IF(ROWS(tblData[[#Headers],[Sorted Arr Id]]:tblData[[#This Row],[Sorted Arr Id]])-1&gt;$BY$11,"",INDEX(tblData[Sorted Arr Id],SMALL(IF(LEN(TRIM(tblData[Surname]))*(tblData[Arr DateTime]&gt;0),ROW(tblData[Sorted Arr Id])-ROW(tblData[[#Headers],[Sorted Arr Id]])),ROWS(tblData[[#Headers],[Sorted Arr Id]]:tblData[[#This Row],[Sorted Arr Id]])-1)))</f>
        <v/>
      </c>
      <c r="CA122" s="6" t="str">
        <f>IF(ROWS(tblArrivalSorted[[#Headers],[Id]]:tblArrivalSorted[[#This Row],[Id]])-1&gt;$CA$11,"",SMALL(tblArrival[Id],ROWS(tblArrivalSorted[[#Headers],[Id]]:tblArrivalSorted[[#This Row],[Id]])-1))</f>
        <v/>
      </c>
      <c r="CC122" s="6" t="str">
        <f t="array" ref="CC122">IF(ROWS(tblData[[#Headers],[Sorted Dep Id]]:tblData[[#This Row],[Sorted Dep Id]])-1&gt;$CC$11,"",INDEX(tblData[Sorted Dep Id],SMALL(IF(LEN(TRIM(tblData[Surname]))*(tblData[Dep DateTime]&gt;0),ROW(tblData[Sorted Dep Id])-ROW(tblData[[#Headers],[Sorted Dep Id]])),ROWS(tblData[[#Headers],[Sorted Dep Id]]:tblData[[#This Row],[Sorted Dep Id]])-1)))</f>
        <v/>
      </c>
      <c r="CE122" s="6" t="str">
        <f>IF(ROWS(tblDepartureSorted[[#Headers],[Id]]:tblDepartureSorted[[#This Row],[Id]])-1&gt;$CE$11,"",SMALL(tblDeparture[Id],ROWS(tblDepartureSorted[[#Headers],[Id]]:tblDepartureSorted[[#This Row],[Id]])-1))</f>
        <v/>
      </c>
      <c r="CG122" s="6" t="str">
        <f t="array" ref="CG122">IF(ROWS(tblData[[#Headers],[Id]]:tblData[[#This Row],[Id]])-1&gt;$CG$11,"",INDEX(tblData[Id],SMALL(IF(LEN(TRIM(tblData[Surname])),ROW(tblData[Id])-ROW(tblData[[#Headers],[Id]])),ROWS(tblData[[#Headers],[Id]]:tblData[[#This Row],[Id]])-1)))</f>
        <v/>
      </c>
    </row>
    <row r="123" spans="1:85" s="6" customFormat="1" ht="16.5" thickBot="1">
      <c r="A123" s="15">
        <f>IF(ISNUMBER(tblData[[#This Row],[SubType2]]),tblData[[#This Row],[SubType2]]*10000+tblData[[#This Row],[No]],1000000+tblData[[#This Row],[No]])</f>
        <v>1000110</v>
      </c>
      <c r="B123" s="15">
        <f>IFERROR(tblData[[#This Row],[Surname Rang]]*1000+tblData[[#This Row],[Given Name Rang]]+tblData[[#This Row],[No]]/1000,"")</f>
        <v>0.11</v>
      </c>
      <c r="C123" s="15">
        <f>IFERROR(tblData[[#This Row],[Arr DateTime Rang]]+tblData[[#This Row],[No]]/1000,"")</f>
        <v>110.11</v>
      </c>
      <c r="D123" s="15">
        <f>IFERROR(tblData[[#This Row],[Dep DateTime Rang]]+tblData[[#This Row],[No]]/1000,"")</f>
        <v>110.11</v>
      </c>
      <c r="E123" s="363">
        <f t="shared" si="2"/>
        <v>110</v>
      </c>
      <c r="F123" s="434"/>
      <c r="G123" s="334"/>
      <c r="H123" s="335"/>
      <c r="I123" s="336"/>
      <c r="J123" s="337"/>
      <c r="K123" s="371"/>
      <c r="L123" s="377"/>
      <c r="M123" s="334"/>
      <c r="N123" s="334"/>
      <c r="O123" s="334"/>
      <c r="P123" s="336"/>
      <c r="Q123" s="378"/>
      <c r="R123" s="385"/>
      <c r="S123" s="338"/>
      <c r="T123" s="334"/>
      <c r="U123" s="339"/>
      <c r="V123" s="339"/>
      <c r="W123" s="386"/>
      <c r="X123" s="385"/>
      <c r="Y123" s="338"/>
      <c r="Z123" s="334"/>
      <c r="AA123" s="334"/>
      <c r="AB123" s="339"/>
      <c r="AC123" s="386"/>
      <c r="AD123" s="377"/>
      <c r="AE123" s="371"/>
      <c r="AF123" s="399"/>
      <c r="AG123" s="335"/>
      <c r="AH123" s="335"/>
      <c r="AI123" s="335"/>
      <c r="AJ123" s="335"/>
      <c r="AK123" s="335"/>
      <c r="AL123" s="335"/>
      <c r="AM123" s="335"/>
      <c r="AN123" s="400"/>
      <c r="AO123" s="435" t="str">
        <f>IF(ISBLANK(tblData[[#This Row],[Surname]]),"",IF(tblData[[#This Row],[Bill Accred Fee]]=0,"NO","YES"))</f>
        <v/>
      </c>
      <c r="AP123" s="432">
        <f>IF(AND(NOT(ISBLANK(tblData[[#This Row],[Surname]])),COUNTA(tblData[[#This Row],[Day 1]:[Day 9]])=0),1,0)</f>
        <v>0</v>
      </c>
      <c r="AQ123" s="432">
        <f>IF(AND(NOT(ISBLANK(tblData[[#This Row],[Surname]])),tblData[[#This Row],[Position]]="Athlete"),1,0)</f>
        <v>0</v>
      </c>
      <c r="AR123" s="433">
        <f>EntryFee*tblData[[#This Row],[Entry Fee Billable]]</f>
        <v>0</v>
      </c>
      <c r="AS123" s="411" t="e">
        <f>IF(ISBLANK(SelectedCategory),"No Cat!",IF(ISBLANK($F123),0,IFERROR(VLOOKUP(AS$12&amp;", "&amp;tblData[[#This Row],[Day 1]],tblAccommodationCosts[],5,FALSE),0)+IFERROR(VLOOKUP(AS$12&amp;", "&amp;tblData[[#This Row],[Day 2]],tblAccommodationCosts[],5,FALSE),0)+IFERROR(VLOOKUP(AS$12&amp;", "&amp;tblData[[#This Row],[Day 3]],tblAccommodationCosts[],5,FALSE),0)+IFERROR(VLOOKUP(AS$12&amp;", "&amp;tblData[[#This Row],[Day 4]],tblAccommodationCosts[],5,FALSE),0)+IFERROR(VLOOKUP(AS$12&amp;", "&amp;tblData[[#This Row],[Day 5]],tblAccommodationCosts[],5,FALSE),0)+IFERROR(VLOOKUP(AS$12&amp;", "&amp;tblData[[#This Row],[Day 6]],tblAccommodationCosts[],5,FALSE),0)+IFERROR(VLOOKUP(AS$12&amp;", "&amp;tblData[[#This Row],[Day 7]],tblAccommodationCosts[],5,FALSE),0)+IFERROR(VLOOKUP(AS$12&amp;", "&amp;tblData[[#This Row],[Day 8]],tblAccommodationCosts[],5,FALSE),0)+IFERROR(VLOOKUP(AS$12&amp;", "&amp;tblData[[#This Row],[Day 9]],tblAccommodationCosts[],5,FALSE),0)+AccreditationFee*tblData[[#This Row],[Bill Accred Fee]]))+tblData[[#This Row],[Entry Fee]]</f>
        <v>#VALUE!</v>
      </c>
      <c r="AT123" s="325" t="str">
        <f>IFERROR(VLOOKUP(tblData[[#This Row],[Weight Category, Function, and Gender]],tblWeightOrFunction[],3,0),"")</f>
        <v/>
      </c>
      <c r="AU123" s="89" t="str">
        <f>IFERROR(VLOOKUP(tblData[[#This Row],[Weight Category, Function, and Gender]],tblWeightOrFunction[],4,0),"")</f>
        <v/>
      </c>
      <c r="AV123" s="90" t="str">
        <f>IFERROR(VLOOKUP(tblData[[#This Row],[Weight Category, Function, and Gender]],tblWeightOrFunction[],7,0),"")</f>
        <v/>
      </c>
      <c r="AW123" s="89" t="str">
        <f>IFERROR(VLOOKUP(tblData[[#This Row],[Weight Category, Function, and Gender]],tblWeightOrFunction[],6,0),"")</f>
        <v/>
      </c>
      <c r="AX123" s="89" t="str">
        <f>IFERROR(VLOOKUP(tblData[[#This Row],[Weight Category, Function, and Gender]],tblWeightOrFunction[],2,0),"")</f>
        <v/>
      </c>
      <c r="AY123" s="76">
        <f>tblData[[#This Row],[Arr Date]]+tblData[[#This Row],[Arr Time]]</f>
        <v>0</v>
      </c>
      <c r="AZ123" s="76">
        <f>tblData[[#This Row],[Dep Date]]+tblData[[#This Row],[Dep Time]]</f>
        <v>0</v>
      </c>
      <c r="BA123" s="72">
        <f>COUNTIF(tblData[Surname],"&lt;="&amp;tblData[Surname])</f>
        <v>0</v>
      </c>
      <c r="BB123" s="72">
        <f>COUNTIF(tblData[Given name],"&lt;="&amp;tblData[Given name])</f>
        <v>0</v>
      </c>
      <c r="BC123" s="72">
        <f>COUNTIF(tblData[Arr DateTime],"&lt;="&amp;tblData[Arr DateTime])</f>
        <v>110</v>
      </c>
      <c r="BD123" s="72">
        <f>COUNTIF(tblData[Dep DateTime],"&lt;="&amp;tblData[Dep DateTime])</f>
        <v>110</v>
      </c>
      <c r="BE123" s="72">
        <f>COUNTIF(tblData[ShuttleAtDeparture],"&lt;="&amp;tblData[ShuttleAtDeparture])</f>
        <v>0</v>
      </c>
      <c r="BI123" s="6" t="str">
        <f t="array" ref="BI123">IF(ROWS(tblData[[#Headers],[Id]]:tblData[[#This Row],[Id]])-1&gt;$BI$11,"",INDEX(tblData[Id],SMALL(IF(LEN(TRIM(tblData[Surname]))*((tblData[Type]=$BI$9)+(tblData[Type]=$BI$10)),ROW(tblData[Id])-ROW(tblData[[#Headers],[Id]])),ROWS(tblData[[#Headers],[Id]]:tblData[[#This Row],[Id]])-1)))</f>
        <v/>
      </c>
      <c r="BK123" s="6" t="str">
        <f>IF(ROWS(tblCoachesAndOfficialsSorted[[#Headers],[Id]]:tblCoachesAndOfficialsSorted[[#This Row],[Id]])-1&gt;$BK$11,"",SMALL(tblCoachesAndOfficials[Id],ROWS(tblCoachesAndOfficialsSorted[[#Headers],[Id]]:tblCoachesAndOfficialsSorted[[#This Row],[Id]])-1))</f>
        <v/>
      </c>
      <c r="BM123" s="6" t="str">
        <f t="array" ref="BM123">IF(ROWS(tblData[[#Headers],[Id]]:tblData[[#This Row],[Id]])-1&gt;$BM$11,"",INDEX(tblData[Id],SMALL(IF(LEN(TRIM(tblData[Surname]))*(tblData[Type]=$BM$9),ROW(tblData[Id])-ROW(tblData[[#Headers],[Id]])),ROWS(tblData[[#Headers],[Id]]:tblData[[#This Row],[Id]])-1)))</f>
        <v/>
      </c>
      <c r="BO123" s="6" t="str">
        <f>IF(ROWS(tblWomenSorted[[#Headers],[Id]]:tblWomenSorted[[#This Row],[Id]])-1&gt;$BO$11,"",SMALL(tblWomen[Id],ROWS(tblWomenSorted[[#Headers],[Id]]:tblWomenSorted[[#This Row],[Id]])-1))</f>
        <v/>
      </c>
      <c r="BP123" s="17"/>
      <c r="BQ123" s="6" t="str">
        <f t="array" ref="BQ123">IF(ROWS(tblData[[#Headers],[Id]]:tblData[[#This Row],[Id]])-1&gt;$BQ$11,"",INDEX(tblData[Id],SMALL(IF(LEN(TRIM(tblData[Surname]))*(tblData[Type]=$BQ$9),ROW(tblData[Id])-ROW(tblData[[#Headers],[Id]])),ROWS(tblData[[#Headers],[Id]]:tblData[[#This Row],[Id]])-1)))</f>
        <v/>
      </c>
      <c r="BS123" s="6" t="str">
        <f>IF(ROWS(tblMenSorted[[#Headers],[Id]]:tblMenSorted[[#This Row],[Id]])-1&gt;$BS$11,"",SMALL(tblMen[Id],ROWS(tblMenSorted[[#Headers],[Id]]:tblMenSorted[[#This Row],[Id]])-1))</f>
        <v/>
      </c>
      <c r="BU123" s="6" t="str">
        <f t="array" ref="BU123">IF(ROWS(tblData[[#Headers],[Sorted Name Id]]:tblData[[#This Row],[Sorted Name Id]])-1&gt;$BU$11,"",INDEX(tblData[Sorted Name Id],SMALL(IF(LEN(TRIM(tblData[Surname]))*(tblData[Visa required]="YES"),ROW(tblData[Sorted Name Id])-ROW(tblData[[#Headers],[Sorted Name Id]])),ROWS(tblData[[#Headers],[Sorted Name Id]]:tblData[[#This Row],[Sorted Name Id]])-1)))</f>
        <v/>
      </c>
      <c r="BW123" s="6" t="str">
        <f>IF(ROWS(tblVisasSorted[[#Headers],[Id]]:tblVisasSorted[[#This Row],[Id]])-1&gt;$BW$11,"",SMALL(tblVisas[Id],ROWS(tblVisasSorted[[#Headers],[Id]]:tblVisasSorted[[#This Row],[Id]])-1))</f>
        <v/>
      </c>
      <c r="BY123" s="6" t="str">
        <f t="array" ref="BY123">IF(ROWS(tblData[[#Headers],[Sorted Arr Id]]:tblData[[#This Row],[Sorted Arr Id]])-1&gt;$BY$11,"",INDEX(tblData[Sorted Arr Id],SMALL(IF(LEN(TRIM(tblData[Surname]))*(tblData[Arr DateTime]&gt;0),ROW(tblData[Sorted Arr Id])-ROW(tblData[[#Headers],[Sorted Arr Id]])),ROWS(tblData[[#Headers],[Sorted Arr Id]]:tblData[[#This Row],[Sorted Arr Id]])-1)))</f>
        <v/>
      </c>
      <c r="CA123" s="6" t="str">
        <f>IF(ROWS(tblArrivalSorted[[#Headers],[Id]]:tblArrivalSorted[[#This Row],[Id]])-1&gt;$CA$11,"",SMALL(tblArrival[Id],ROWS(tblArrivalSorted[[#Headers],[Id]]:tblArrivalSorted[[#This Row],[Id]])-1))</f>
        <v/>
      </c>
      <c r="CC123" s="6" t="str">
        <f t="array" ref="CC123">IF(ROWS(tblData[[#Headers],[Sorted Dep Id]]:tblData[[#This Row],[Sorted Dep Id]])-1&gt;$CC$11,"",INDEX(tblData[Sorted Dep Id],SMALL(IF(LEN(TRIM(tblData[Surname]))*(tblData[Dep DateTime]&gt;0),ROW(tblData[Sorted Dep Id])-ROW(tblData[[#Headers],[Sorted Dep Id]])),ROWS(tblData[[#Headers],[Sorted Dep Id]]:tblData[[#This Row],[Sorted Dep Id]])-1)))</f>
        <v/>
      </c>
      <c r="CE123" s="6" t="str">
        <f>IF(ROWS(tblDepartureSorted[[#Headers],[Id]]:tblDepartureSorted[[#This Row],[Id]])-1&gt;$CE$11,"",SMALL(tblDeparture[Id],ROWS(tblDepartureSorted[[#Headers],[Id]]:tblDepartureSorted[[#This Row],[Id]])-1))</f>
        <v/>
      </c>
      <c r="CG123" s="6" t="str">
        <f t="array" ref="CG123">IF(ROWS(tblData[[#Headers],[Id]]:tblData[[#This Row],[Id]])-1&gt;$CG$11,"",INDEX(tblData[Id],SMALL(IF(LEN(TRIM(tblData[Surname])),ROW(tblData[Id])-ROW(tblData[[#Headers],[Id]])),ROWS(tblData[[#Headers],[Id]]:tblData[[#This Row],[Id]])-1)))</f>
        <v/>
      </c>
    </row>
    <row r="124" spans="1:85" ht="16.5" thickBot="1">
      <c r="AZ124" s="12"/>
    </row>
    <row r="125" spans="1:85">
      <c r="AW125" s="471" t="s">
        <v>139</v>
      </c>
      <c r="AX125" s="472"/>
      <c r="AY125" s="25">
        <f>SUM(tblData[Bill Accred Fee])</f>
        <v>0</v>
      </c>
      <c r="AZ125" s="26" t="e">
        <f>SUM(tblData[Cat])</f>
        <v>#VALUE!</v>
      </c>
      <c r="BH125" s="73"/>
      <c r="BI125" s="73"/>
      <c r="BJ125" s="73"/>
      <c r="BK125" s="73"/>
      <c r="BL125" s="73"/>
    </row>
    <row r="126" spans="1:85" ht="16.5" thickBot="1">
      <c r="AW126" s="473" t="s">
        <v>140</v>
      </c>
      <c r="AX126" s="474"/>
      <c r="AY126" s="27"/>
      <c r="AZ126" s="28" t="e">
        <f>AZ125*1.1</f>
        <v>#VALUE!</v>
      </c>
      <c r="BH126" s="73"/>
      <c r="BI126" s="73"/>
      <c r="BJ126" s="73"/>
      <c r="BK126" s="73"/>
      <c r="BL126" s="73"/>
    </row>
  </sheetData>
  <sheetProtection password="E8E9" sheet="1" objects="1" scenarios="1" selectLockedCells="1"/>
  <dataConsolidate/>
  <mergeCells count="31">
    <mergeCell ref="AW125:AX125"/>
    <mergeCell ref="AW126:AX126"/>
    <mergeCell ref="I9:Q9"/>
    <mergeCell ref="AF5:AN5"/>
    <mergeCell ref="AF6:AH6"/>
    <mergeCell ref="AI6:AK6"/>
    <mergeCell ref="AL6:AN6"/>
    <mergeCell ref="AF11:AN11"/>
    <mergeCell ref="AD11:AE11"/>
    <mergeCell ref="M11:Q11"/>
    <mergeCell ref="F11:K11"/>
    <mergeCell ref="R11:W11"/>
    <mergeCell ref="X11:AC11"/>
    <mergeCell ref="AO11:AO12"/>
    <mergeCell ref="L11:L12"/>
    <mergeCell ref="AR11:AR12"/>
    <mergeCell ref="BF10:BG10"/>
    <mergeCell ref="A4:F4"/>
    <mergeCell ref="A5:F5"/>
    <mergeCell ref="G5:H5"/>
    <mergeCell ref="A6:F6"/>
    <mergeCell ref="G6:H6"/>
    <mergeCell ref="G4:H4"/>
    <mergeCell ref="A9:G9"/>
    <mergeCell ref="M1:P2"/>
    <mergeCell ref="O3:U3"/>
    <mergeCell ref="O4:U6"/>
    <mergeCell ref="J5:M5"/>
    <mergeCell ref="J6:M6"/>
    <mergeCell ref="E1:K1"/>
    <mergeCell ref="E2:K2"/>
  </mergeCells>
  <phoneticPr fontId="8" type="noConversion"/>
  <conditionalFormatting sqref="H9">
    <cfRule type="containsBlanks" dxfId="231" priority="15">
      <formula>LEN(TRIM(H9))=0</formula>
    </cfRule>
  </conditionalFormatting>
  <conditionalFormatting sqref="M14:Q123">
    <cfRule type="expression" dxfId="230" priority="14">
      <formula>$L14&lt;&gt;"YES"</formula>
    </cfRule>
  </conditionalFormatting>
  <conditionalFormatting sqref="I14:I123">
    <cfRule type="expression" dxfId="229" priority="12">
      <formula>AND(ISBLANK($I14),OR($AW14="Athlete",$L14="YES"))</formula>
    </cfRule>
  </conditionalFormatting>
  <conditionalFormatting sqref="W14:W123">
    <cfRule type="expression" dxfId="228" priority="9">
      <formula>$V14="by Car or Bus"</formula>
    </cfRule>
  </conditionalFormatting>
  <conditionalFormatting sqref="AC14:AC123">
    <cfRule type="expression" dxfId="227" priority="8">
      <formula>$AB14="by Car or Bus"</formula>
    </cfRule>
  </conditionalFormatting>
  <conditionalFormatting sqref="AY14:AZ123 R14:S123 X14:Y123">
    <cfRule type="expression" dxfId="226" priority="3">
      <formula>AND(ISBLANK(R14),COUNTA($AF14:$AN14)&gt;0)</formula>
    </cfRule>
  </conditionalFormatting>
  <conditionalFormatting sqref="G14:BE123">
    <cfRule type="expression" dxfId="225" priority="1" stopIfTrue="1">
      <formula>ISBLANK($F14)</formula>
    </cfRule>
  </conditionalFormatting>
  <conditionalFormatting sqref="X14:X123">
    <cfRule type="expression" dxfId="224" priority="17">
      <formula>$X14&lt;$R14</formula>
    </cfRule>
  </conditionalFormatting>
  <conditionalFormatting sqref="AF14:AN123">
    <cfRule type="expression" dxfId="223" priority="18">
      <formula>AND(NOT(ISBLANK($X14)),$X14&lt;=AF$12)</formula>
    </cfRule>
    <cfRule type="expression" dxfId="222" priority="19">
      <formula>$R14&gt;AF$12</formula>
    </cfRule>
  </conditionalFormatting>
  <dataValidations count="37">
    <dataValidation type="list" allowBlank="1" showInputMessage="1" showErrorMessage="1" error="Only values offered in the drop down list can be entered!" prompt="Please select one of the available options. Scroll down to find more options." sqref="H14:H123" xr:uid="{00000000-0002-0000-0000-000000000000}">
      <formula1>lstWeightOrFunctionCategory</formula1>
    </dataValidation>
    <dataValidation type="list" allowBlank="1" showInputMessage="1" showErrorMessage="1" error="Only &quot;YES&quot; or &quot;NO&quot; is accepted!" prompt="Enter &quot;YES&quot;, if the member requires a visa for visiting the event. This member will automatically be listed on the &quot;Visa Application&quot; form." sqref="L14:L123" xr:uid="{00000000-0002-0000-0000-000001000000}">
      <formula1>lstYesNo</formula1>
    </dataValidation>
    <dataValidation type="list" allowBlank="1" showInputMessage="1" showErrorMessage="1" error="Please select one of the available dates!" prompt="Select the date when the member arrives at the event." sqref="R14:R123" xr:uid="{00000000-0002-0000-0000-000002000000}">
      <formula1>lstArrivalDate</formula1>
    </dataValidation>
    <dataValidation type="time" allowBlank="1" showInputMessage="1" showErrorMessage="1" error="Please enter the time of departure in &quot;hh:mm&quot; (24h format)." prompt="Please enter the time of departure in &quot;hh:mm&quot; (24h format)." sqref="Y14:Y123" xr:uid="{00000000-0002-0000-0000-000003000000}">
      <formula1>0</formula1>
      <formula2>0.999305555555556</formula2>
    </dataValidation>
    <dataValidation type="list" allowBlank="1" showInputMessage="1" showErrorMessage="1" error="Please select one of the available options!" prompt="Please select the airport/train station from where the member departs." sqref="Z14:Z18 Z23:Z123" xr:uid="{00000000-0002-0000-0000-000004000000}">
      <formula1>lstTravelLocation</formula1>
    </dataValidation>
    <dataValidation type="list" allowBlank="1" showInputMessage="1" showErrorMessage="1" error="Please select one of the 3 available options!" prompt="Please provide information how the member departs from the event." sqref="AB14:AB123" xr:uid="{00000000-0002-0000-0000-000005000000}">
      <formula1>lstLocomotionType</formula1>
    </dataValidation>
    <dataValidation type="list" allowBlank="1" showInputMessage="1" showErrorMessage="1" error="Please select one of the available dates!" prompt="Select the date when the member departs from the event." sqref="X14:X123" xr:uid="{00000000-0002-0000-0000-000006000000}">
      <formula1>lstDepartureDate</formula1>
    </dataValidation>
    <dataValidation type="list" allowBlank="1" showInputMessage="1" showErrorMessage="1" error="Please select one of the available options!" prompt="Select &quot;YES&quot; if the member needs a transfer shuttle from her/his (official) hotel to her/his departure location._x000a_Please select &quot;NO&quot; if the member takes care of herself/himself." sqref="AE14:AE123" xr:uid="{00000000-0002-0000-0000-000007000000}">
      <formula1>lstTransferLocation</formula1>
    </dataValidation>
    <dataValidation type="list" allowBlank="1" showInputMessage="1" showErrorMessage="1" error="Please select one of the available options!" prompt="Please select the appropriate combination of room type and meals" sqref="AF14:AI123 AL14:AN123" xr:uid="{00000000-0002-0000-0000-000008000000}">
      <formula1>lstRoomAndLodging</formula1>
    </dataValidation>
    <dataValidation type="list" showInputMessage="1" showErrorMessage="1" error="Please select one of the available categories!" prompt="Please select the preferred hotel category for your delegation" sqref="H9" xr:uid="{00000000-0002-0000-0000-000009000000}">
      <formula1>lstHotelCategory</formula1>
    </dataValidation>
    <dataValidation type="date" allowBlank="1" showInputMessage="1" showErrorMessage="1" prompt="If a visa is required, enter the date when the passport will expire." sqref="Q14:Q123" xr:uid="{00000000-0002-0000-0000-00000A000000}">
      <formula1>1</formula1>
      <formula2>47848</formula2>
    </dataValidation>
    <dataValidation type="custom" allowBlank="1" showInputMessage="1" showErrorMessage="1" error="Last name must not contain only spaces! Please delete all characters or enter at least one letter." prompt="Please enter the last (or family) name of the participating delegation member" sqref="F14:F123" xr:uid="{00000000-0002-0000-0000-00000B000000}">
      <formula1>LEN(TRIM(F14))&gt;0</formula1>
    </dataValidation>
    <dataValidation allowBlank="1" showInputMessage="1" showErrorMessage="1" prompt="Please enter the first name" sqref="G14:G123" xr:uid="{00000000-0002-0000-0000-00000C000000}"/>
    <dataValidation type="date" allowBlank="1" showInputMessage="1" showErrorMessage="1" error="Please enter the date with a correct format!" prompt="If the member is an athlete, or requires a visa, please enter her/his birth date" sqref="I14:I123" xr:uid="{00000000-0002-0000-0000-00000D000000}">
      <formula1>1</formula1>
      <formula2>47848</formula2>
    </dataValidation>
    <dataValidation allowBlank="1" showInputMessage="1" showErrorMessage="1" prompt="Optional. You can enter the best achievements of the athlete." sqref="J14:J123" xr:uid="{00000000-0002-0000-0000-00000E000000}"/>
    <dataValidation type="list" allowBlank="1" showInputMessage="1" showErrorMessage="1" error="Only &quot;YES&quot; or &quot;NO&quot; are valid values!" prompt="Enter &quot;YES&quot;, if the member will participate at the Training Camp." sqref="K14:K123" xr:uid="{00000000-0002-0000-0000-00000F000000}">
      <formula1>lstYesNo</formula1>
    </dataValidation>
    <dataValidation allowBlank="1" showInputMessage="1" showErrorMessage="1" prompt="If a visa is required, enter the place where the member was born." sqref="M14:M123" xr:uid="{00000000-0002-0000-0000-000010000000}"/>
    <dataValidation allowBlank="1" showInputMessage="1" showErrorMessage="1" prompt="If a visa is required, enter the nationality of the member." sqref="N14:N123" xr:uid="{00000000-0002-0000-0000-000011000000}"/>
    <dataValidation allowBlank="1" showInputMessage="1" showErrorMessage="1" prompt="If a visa is required, enter the number of the member's passport." sqref="O14:O123" xr:uid="{00000000-0002-0000-0000-000012000000}"/>
    <dataValidation type="date" allowBlank="1" showInputMessage="1" showErrorMessage="1" prompt="If a visa is required, enter the date when the passport was issued." sqref="P14:P123" xr:uid="{00000000-0002-0000-0000-000013000000}">
      <formula1>1</formula1>
      <formula2>47848</formula2>
    </dataValidation>
    <dataValidation type="time" allowBlank="1" showInputMessage="1" showErrorMessage="1" error="Please enter the arrival time in &quot;hh:mm&quot; (24h format)." prompt="Please enter the arrival time in &quot;hh:mm&quot; (24h format)." sqref="S14:S123" xr:uid="{00000000-0002-0000-0000-000014000000}">
      <formula1>0</formula1>
      <formula2>0.999305555555556</formula2>
    </dataValidation>
    <dataValidation allowBlank="1" showInputMessage="1" showErrorMessage="1" prompt="If arriving by plane or train, please provide the name of the airport/train station where the member started her/his LAST leg." sqref="T14:T123" xr:uid="{00000000-0002-0000-0000-000015000000}"/>
    <dataValidation allowBlank="1" showInputMessage="1" showErrorMessage="1" prompt="If leaving by plane or train, please provide the name of the airport/train station where the member will arrive first." sqref="AA14:AA123" xr:uid="{00000000-0002-0000-0000-000016000000}"/>
    <dataValidation type="list" allowBlank="1" showInputMessage="1" showErrorMessage="1" error="Please select one of the available options!" prompt="Please select the airport/train station where the member arrives." sqref="Z19:Z22 U14:U123" xr:uid="{00000000-0002-0000-0000-000017000000}">
      <formula1>lstTravelLocation</formula1>
    </dataValidation>
    <dataValidation type="list" allowBlank="1" showInputMessage="1" showErrorMessage="1" error="Please select one of the 3 options!" prompt="Please provide information how the member arrives at the event." sqref="V14:V123" xr:uid="{00000000-0002-0000-0000-000018000000}">
      <formula1>lstLocomotionType</formula1>
    </dataValidation>
    <dataValidation allowBlank="1" showInputMessage="1" showErrorMessage="1" prompt="If arriving by plane or train, please provide the flight/train number." sqref="W14:W123" xr:uid="{00000000-0002-0000-0000-000019000000}"/>
    <dataValidation allowBlank="1" showInputMessage="1" showErrorMessage="1" prompt="If departing by plane or train, please provide the flight/train number." sqref="AC14:AC123" xr:uid="{00000000-0002-0000-0000-00001A000000}"/>
    <dataValidation type="list" allowBlank="1" showInputMessage="1" showErrorMessage="1" error="Please select one of the available options!" prompt="Select &quot;YES&quot; if the member needs a transfer shuttle from her/his arrival location to her/his (official) hotel._x000a_Please select &quot;NO&quot; if the member takes care of herself/himself." sqref="AD14:AD123" xr:uid="{00000000-0002-0000-0000-00001B000000}">
      <formula1>lstTransferLocation</formula1>
    </dataValidation>
    <dataValidation allowBlank="1" showInputMessage="1" showErrorMessage="1" prompt="Please enter a contact's name for possible questions" sqref="G5:H5" xr:uid="{00000000-0002-0000-0000-00001C000000}"/>
    <dataValidation allowBlank="1" showInputMessage="1" showErrorMessage="1" prompt="Please provide us with a telephone number to discuss possible questions." sqref="G6:H6" xr:uid="{00000000-0002-0000-0000-00001D000000}"/>
    <dataValidation allowBlank="1" showInputMessage="1" showErrorMessage="1" prompt="Please tell us the contact's position" sqref="J5" xr:uid="{00000000-0002-0000-0000-00001E000000}"/>
    <dataValidation allowBlank="1" showInputMessage="1" showErrorMessage="1" prompt="Please provide us with an email address to discuss possible questions." sqref="J6" xr:uid="{00000000-0002-0000-0000-00001F000000}"/>
    <dataValidation allowBlank="1" showInputMessage="1" showErrorMessage="1" error="Please enter the time of departure in &quot;hh:mm&quot; (24h format)." prompt="Please enter the time of departure in &quot;hh:mm&quot; (24h format)." sqref="AZ14:AZ123" xr:uid="{00000000-0002-0000-0000-000020000000}"/>
    <dataValidation allowBlank="1" showInputMessage="1" showErrorMessage="1" error="Please enter the arrival time in &quot;hh:mm&quot; (24h format)." prompt="Please enter the arrival time in &quot;hh:mm&quot; (24h format)." sqref="AY14:AY123" xr:uid="{00000000-0002-0000-0000-000021000000}"/>
    <dataValidation type="textLength" showInputMessage="1" showErrorMessage="1" error="The federation's name is required!" prompt="Please enter the name of your federation" sqref="G4 I4:K4" xr:uid="{00000000-0002-0000-0000-000022000000}">
      <formula1>1</formula1>
      <formula2>120</formula2>
    </dataValidation>
    <dataValidation allowBlank="1" showInputMessage="1" showErrorMessage="1" prompt="Here you can leave a request or comment for the organizer." sqref="AY4:AY6 O4" xr:uid="{00000000-0002-0000-0000-000023000000}"/>
    <dataValidation type="list" allowBlank="1" showInputMessage="1" showErrorMessage="1" error="Please select one of the available options!" prompt="Please select the appropriate combination of room type and meals" sqref="AJ14:AK123" xr:uid="{00000000-0002-0000-0000-000024000000}">
      <formula1>lstRoomLodgingCompDays</formula1>
    </dataValidation>
  </dataValidations>
  <pageMargins left="0.39000000000000007" right="0.39000000000000007" top="0.79000000000000015" bottom="0.39000000000000007" header="0.2" footer="0.2"/>
  <pageSetup paperSize="9" scale="79" fitToWidth="3" fitToHeight="5" pageOrder="overThenDown" orientation="landscape" r:id="rId1"/>
  <headerFooter>
    <oddFooter>Seite &amp;P von &amp;N</oddFooter>
  </headerFooter>
  <drawing r:id="rId2"/>
  <tableParts count="14">
    <tablePart r:id="rId3"/>
    <tablePart r:id="rId4"/>
    <tablePart r:id="rId5"/>
    <tablePart r:id="rId6"/>
    <tablePart r:id="rId7"/>
    <tablePart r:id="rId8"/>
    <tablePart r:id="rId9"/>
    <tablePart r:id="rId10"/>
    <tablePart r:id="rId11"/>
    <tablePart r:id="rId12"/>
    <tablePart r:id="rId13"/>
    <tablePart r:id="rId14"/>
    <tablePart r:id="rId15"/>
    <tablePart r:id="rId16"/>
  </tablePart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1" id="{362B78A1-8E0A-4043-99F6-0BDA389A1CAD}">
            <xm:f>AND(NOT(ISBLANK(U14)),ISERROR(VLOOKUP(U14,Parameters!$Q$3:$Q$5,1,0)))</xm:f>
            <x14:dxf>
              <font>
                <color rgb="FF9C5700"/>
              </font>
              <fill>
                <patternFill>
                  <bgColor rgb="FFFFEB9C"/>
                </patternFill>
              </fill>
            </x14:dxf>
          </x14:cfRule>
          <xm:sqref>Z14:Z123 U14:U123</xm:sqref>
        </x14:conditionalFormatting>
        <x14:conditionalFormatting xmlns:xm="http://schemas.microsoft.com/office/excel/2006/main">
          <x14:cfRule type="expression" priority="16" id="{9D87D97C-11C8-904B-803E-9E387FF41664}">
            <xm:f>AND(VLOOKUP($H14,Parameters!$A$3:$F$32,6,0)&lt;&gt;"Athlete",$L14&lt;&gt;"YES")</xm:f>
            <x14:dxf>
              <font>
                <color rgb="FF9C0006"/>
              </font>
              <fill>
                <patternFill>
                  <bgColor theme="0" tint="-0.24994659260841701"/>
                </patternFill>
              </fill>
            </x14:dxf>
          </x14:cfRule>
          <xm:sqref>I14:J123</xm:sqref>
        </x14:conditionalFormatting>
      </x14:conditionalFormattings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Tabelle10">
    <pageSetUpPr fitToPage="1"/>
  </sheetPr>
  <dimension ref="A1:L36"/>
  <sheetViews>
    <sheetView showGridLines="0" showRowColHeaders="0" workbookViewId="0">
      <selection activeCell="G13" sqref="G13"/>
    </sheetView>
  </sheetViews>
  <sheetFormatPr baseColWidth="10" defaultRowHeight="15.75"/>
  <cols>
    <col min="1" max="1" width="5.5" customWidth="1"/>
    <col min="3" max="3" width="21.5" customWidth="1"/>
    <col min="4" max="4" width="11" customWidth="1"/>
    <col min="5" max="5" width="11.625" customWidth="1"/>
    <col min="7" max="7" width="14.125" customWidth="1"/>
  </cols>
  <sheetData>
    <row r="1" spans="1:12" ht="26.25">
      <c r="A1" s="454" t="str">
        <f>Header1</f>
        <v>JUNIOR EUROPEAN JUDO CUP</v>
      </c>
      <c r="B1" s="454"/>
      <c r="C1" s="454"/>
      <c r="D1" s="454"/>
      <c r="E1" s="454"/>
      <c r="F1" s="454"/>
      <c r="G1" s="454"/>
      <c r="H1" s="30"/>
      <c r="I1" s="30"/>
      <c r="J1" s="30"/>
      <c r="K1" s="30"/>
      <c r="L1" s="30"/>
    </row>
    <row r="2" spans="1:12" ht="38.1" customHeight="1">
      <c r="A2" s="455" t="str">
        <f>Header2</f>
        <v>IJF WORLD JUNIOR TOUR, June, 02 and 03, 2018 
EJU JUNIOR TRAINING CAMP, June 04 to 06, 2018 (Leibnitz - Austria)</v>
      </c>
      <c r="B2" s="455"/>
      <c r="C2" s="455"/>
      <c r="D2" s="455"/>
      <c r="E2" s="455"/>
      <c r="F2" s="455"/>
      <c r="G2" s="455"/>
      <c r="H2" s="38"/>
      <c r="I2" s="38"/>
      <c r="J2" s="38"/>
      <c r="K2" s="38"/>
      <c r="L2" s="38"/>
    </row>
    <row r="6" spans="1:12">
      <c r="A6" s="663" t="s">
        <v>256</v>
      </c>
      <c r="B6" s="663"/>
      <c r="C6" s="663"/>
      <c r="D6" s="39"/>
      <c r="E6" s="663" t="s">
        <v>252</v>
      </c>
      <c r="F6" s="663"/>
      <c r="G6" s="663"/>
    </row>
    <row r="7" spans="1:12">
      <c r="A7" s="664">
        <f>Kontrolle!C1</f>
        <v>0</v>
      </c>
      <c r="B7" s="664"/>
      <c r="C7" s="664"/>
      <c r="E7" s="664" t="s">
        <v>253</v>
      </c>
      <c r="F7" s="664"/>
      <c r="G7" s="664"/>
    </row>
    <row r="8" spans="1:12">
      <c r="A8" s="664" t="str">
        <f>IF(ISBLANK(Kontrolle!I2),"",Kontrolle!I2)</f>
        <v/>
      </c>
      <c r="B8" s="664"/>
      <c r="C8" s="664"/>
      <c r="E8" s="664" t="s">
        <v>257</v>
      </c>
      <c r="F8" s="664"/>
      <c r="G8" s="664"/>
    </row>
    <row r="9" spans="1:12">
      <c r="A9" s="664" t="str">
        <f>IF(ISBLANK(Kontrolle!I3),"",Kontrolle!I3)</f>
        <v/>
      </c>
      <c r="B9" s="664"/>
      <c r="C9" s="664"/>
      <c r="E9" s="664" t="s">
        <v>254</v>
      </c>
      <c r="F9" s="664"/>
      <c r="G9" s="664"/>
    </row>
    <row r="10" spans="1:12">
      <c r="A10" s="664" t="str">
        <f>IF(ISBLANK(Kontrolle!I4),"",Kontrolle!I4)</f>
        <v/>
      </c>
      <c r="B10" s="664"/>
      <c r="C10" s="664"/>
      <c r="E10" s="664" t="s">
        <v>255</v>
      </c>
      <c r="F10" s="664"/>
      <c r="G10" s="664"/>
    </row>
    <row r="13" spans="1:12" ht="21">
      <c r="A13" s="294" t="s">
        <v>213</v>
      </c>
      <c r="B13" s="293"/>
      <c r="D13" s="672" t="s">
        <v>220</v>
      </c>
      <c r="E13" s="672"/>
      <c r="F13" s="672"/>
      <c r="G13" s="78"/>
    </row>
    <row r="14" spans="1:12">
      <c r="A14" s="295" t="str">
        <f>InvoiceSubtitle</f>
        <v>Junior European Judo Cup 2018, Leibnitz - Austria</v>
      </c>
    </row>
    <row r="15" spans="1:12" ht="16.5" thickBot="1"/>
    <row r="16" spans="1:12" ht="35.1" customHeight="1" thickBot="1">
      <c r="A16" s="314" t="s">
        <v>215</v>
      </c>
      <c r="B16" s="670" t="s">
        <v>216</v>
      </c>
      <c r="C16" s="670"/>
      <c r="D16" s="670"/>
      <c r="E16" s="315" t="s">
        <v>217</v>
      </c>
      <c r="F16" s="315" t="s">
        <v>218</v>
      </c>
      <c r="G16" s="316" t="s">
        <v>219</v>
      </c>
    </row>
    <row r="17" spans="1:8" ht="24" customHeight="1">
      <c r="A17" s="310">
        <v>1</v>
      </c>
      <c r="B17" s="671" t="str">
        <f>Voucher!A11</f>
        <v>Einzelzimmer / Single Room</v>
      </c>
      <c r="C17" s="671"/>
      <c r="D17" s="671"/>
      <c r="E17" s="311" t="e">
        <f>IF(ISBLANK(Kontrolle!F78),Kontrolle!$E78,Kontrolle!F78)</f>
        <v>#N/A</v>
      </c>
      <c r="F17" s="312">
        <f ca="1">Kontrolle!D78</f>
        <v>0</v>
      </c>
      <c r="G17" s="313" t="e">
        <f ca="1">E17*F17</f>
        <v>#N/A</v>
      </c>
    </row>
    <row r="18" spans="1:8" ht="24" customHeight="1">
      <c r="A18" s="300">
        <f>A17+1</f>
        <v>2</v>
      </c>
      <c r="B18" s="665" t="str">
        <f>Voucher!A12</f>
        <v>Doppelzimmer / Double Room</v>
      </c>
      <c r="C18" s="665"/>
      <c r="D18" s="665"/>
      <c r="E18" s="301" t="e">
        <f>IF(ISBLANK(Kontrolle!F79),Kontrolle!$E79,Kontrolle!F79)</f>
        <v>#N/A</v>
      </c>
      <c r="F18" s="302">
        <f ca="1">Kontrolle!D79</f>
        <v>0</v>
      </c>
      <c r="G18" s="303" t="e">
        <f t="shared" ref="G18:G23" ca="1" si="0">E18*F18</f>
        <v>#N/A</v>
      </c>
    </row>
    <row r="19" spans="1:8" ht="24" customHeight="1">
      <c r="A19" s="300">
        <f t="shared" ref="A19:A24" si="1">A18+1</f>
        <v>3</v>
      </c>
      <c r="B19" s="665" t="str">
        <f>Voucher!A13</f>
        <v>Mehrbettzimmer / Shared Room</v>
      </c>
      <c r="C19" s="665"/>
      <c r="D19" s="665"/>
      <c r="E19" s="301" t="e">
        <f>IF(ISBLANK(Kontrolle!F80),Kontrolle!$E80,Kontrolle!F80)</f>
        <v>#N/A</v>
      </c>
      <c r="F19" s="302">
        <f ca="1">Kontrolle!D80</f>
        <v>0</v>
      </c>
      <c r="G19" s="303" t="e">
        <f t="shared" ca="1" si="0"/>
        <v>#N/A</v>
      </c>
    </row>
    <row r="20" spans="1:8" ht="24" customHeight="1">
      <c r="A20" s="300">
        <f t="shared" si="1"/>
        <v>4</v>
      </c>
      <c r="B20" s="665" t="str">
        <f>Voucher!A16</f>
        <v>Halbpension / Halfboard</v>
      </c>
      <c r="C20" s="665"/>
      <c r="D20" s="665"/>
      <c r="E20" s="301" t="e">
        <f>IF(ISBLANK(Kontrolle!F81),Kontrolle!$E81,Kontrolle!F81)</f>
        <v>#N/A</v>
      </c>
      <c r="F20" s="302">
        <f ca="1">Kontrolle!D81</f>
        <v>0</v>
      </c>
      <c r="G20" s="303" t="e">
        <f t="shared" ca="1" si="0"/>
        <v>#N/A</v>
      </c>
    </row>
    <row r="21" spans="1:8" ht="24" customHeight="1">
      <c r="A21" s="300">
        <f t="shared" si="1"/>
        <v>5</v>
      </c>
      <c r="B21" s="665" t="str">
        <f>Voucher!A17</f>
        <v>Vollpension / Fullboard</v>
      </c>
      <c r="C21" s="665"/>
      <c r="D21" s="665"/>
      <c r="E21" s="301" t="e">
        <f>IF(ISBLANK(Kontrolle!F82),Kontrolle!$E82,Kontrolle!F82)</f>
        <v>#N/A</v>
      </c>
      <c r="F21" s="302">
        <f ca="1">Kontrolle!D82</f>
        <v>0</v>
      </c>
      <c r="G21" s="303" t="e">
        <f t="shared" ca="1" si="0"/>
        <v>#N/A</v>
      </c>
    </row>
    <row r="22" spans="1:8" ht="24" customHeight="1">
      <c r="A22" s="300">
        <f t="shared" si="1"/>
        <v>6</v>
      </c>
      <c r="B22" s="665" t="str">
        <f>Kontrolle!A83</f>
        <v>Accreditation Fee</v>
      </c>
      <c r="C22" s="665"/>
      <c r="D22" s="665"/>
      <c r="E22" s="301">
        <f>IF(ISBLANK(Kontrolle!F83),Kontrolle!$E83,Kontrolle!F83)</f>
        <v>80</v>
      </c>
      <c r="F22" s="302">
        <f>Kontrolle!D83</f>
        <v>0</v>
      </c>
      <c r="G22" s="303">
        <f t="shared" si="0"/>
        <v>0</v>
      </c>
    </row>
    <row r="23" spans="1:8" ht="24" customHeight="1">
      <c r="A23" s="300">
        <f t="shared" si="1"/>
        <v>7</v>
      </c>
      <c r="B23" s="665" t="str">
        <f>Kontrolle!A85</f>
        <v>Shuttle service</v>
      </c>
      <c r="C23" s="665"/>
      <c r="D23" s="665"/>
      <c r="E23" s="301">
        <f>IF(ISBLANK(Kontrolle!F85),Kontrolle!$E85,Kontrolle!F85)</f>
        <v>0</v>
      </c>
      <c r="F23" s="302">
        <f ca="1">Kontrolle!D85</f>
        <v>0</v>
      </c>
      <c r="G23" s="303">
        <f t="shared" ca="1" si="0"/>
        <v>0</v>
      </c>
    </row>
    <row r="24" spans="1:8" ht="24" customHeight="1">
      <c r="A24" s="300">
        <f t="shared" si="1"/>
        <v>8</v>
      </c>
      <c r="B24" s="665" t="s">
        <v>275</v>
      </c>
      <c r="C24" s="665"/>
      <c r="D24" s="665"/>
      <c r="E24" s="301" t="e">
        <f ca="1">IF(ISBLANK(Kontrolle!$F86),Kontrolle!$E86,Kontrolle!$F86)</f>
        <v>#N/A</v>
      </c>
      <c r="F24" s="302" t="e">
        <f ca="1">IF(E24&lt;&gt;0,1,0)</f>
        <v>#N/A</v>
      </c>
      <c r="G24" s="303" t="e">
        <f ca="1">E24*F24</f>
        <v>#N/A</v>
      </c>
    </row>
    <row r="25" spans="1:8" ht="24" customHeight="1">
      <c r="A25" s="300">
        <f>A24+1</f>
        <v>9</v>
      </c>
      <c r="B25" s="669"/>
      <c r="C25" s="669"/>
      <c r="D25" s="669"/>
      <c r="E25" s="304"/>
      <c r="F25" s="305"/>
      <c r="G25" s="303">
        <f>E25*F25</f>
        <v>0</v>
      </c>
    </row>
    <row r="26" spans="1:8" ht="24" customHeight="1">
      <c r="A26" s="300">
        <f>A25+1</f>
        <v>10</v>
      </c>
      <c r="B26" s="669"/>
      <c r="C26" s="669"/>
      <c r="D26" s="669"/>
      <c r="E26" s="304"/>
      <c r="F26" s="305"/>
      <c r="G26" s="303">
        <f>E26*F26</f>
        <v>0</v>
      </c>
    </row>
    <row r="27" spans="1:8" ht="24" customHeight="1" thickBot="1">
      <c r="A27" s="306">
        <f>A26+1</f>
        <v>11</v>
      </c>
      <c r="B27" s="667"/>
      <c r="C27" s="667"/>
      <c r="D27" s="667"/>
      <c r="E27" s="307"/>
      <c r="F27" s="308"/>
      <c r="G27" s="309">
        <f>E27*F27</f>
        <v>0</v>
      </c>
    </row>
    <row r="28" spans="1:8" ht="24" customHeight="1" thickBot="1">
      <c r="A28" s="666" t="s">
        <v>230</v>
      </c>
      <c r="B28" s="666"/>
      <c r="C28" s="666"/>
      <c r="D28" s="668" t="s">
        <v>222</v>
      </c>
      <c r="E28" s="668"/>
      <c r="F28" s="668"/>
      <c r="G28" s="317" t="e">
        <f ca="1">SUM(G17:G27)</f>
        <v>#N/A</v>
      </c>
    </row>
    <row r="29" spans="1:8" ht="16.5" thickTop="1"/>
    <row r="30" spans="1:8">
      <c r="A30" s="40"/>
      <c r="B30" s="40"/>
      <c r="C30" s="661"/>
      <c r="D30" s="661"/>
      <c r="E30" s="661"/>
      <c r="F30" s="661"/>
      <c r="G30" s="42"/>
      <c r="H30" s="42"/>
    </row>
    <row r="31" spans="1:8" ht="114" customHeight="1">
      <c r="A31" s="662" t="s">
        <v>223</v>
      </c>
      <c r="B31" s="662"/>
      <c r="C31" s="662"/>
      <c r="D31" s="662"/>
      <c r="E31" s="662"/>
      <c r="F31" s="662"/>
      <c r="G31" s="41"/>
      <c r="H31" s="41"/>
    </row>
    <row r="32" spans="1:8">
      <c r="G32" s="41"/>
      <c r="H32" s="41"/>
    </row>
    <row r="33" spans="7:8">
      <c r="G33" s="41"/>
      <c r="H33" s="41"/>
    </row>
    <row r="34" spans="7:8">
      <c r="G34" s="41"/>
      <c r="H34" s="41"/>
    </row>
    <row r="35" spans="7:8">
      <c r="G35" s="41"/>
      <c r="H35" s="41"/>
    </row>
    <row r="36" spans="7:8">
      <c r="G36" s="41"/>
      <c r="H36" s="41"/>
    </row>
  </sheetData>
  <sheetProtection password="E8E9" sheet="1" objects="1" scenarios="1" selectLockedCells="1"/>
  <mergeCells count="29">
    <mergeCell ref="A1:G1"/>
    <mergeCell ref="A2:G2"/>
    <mergeCell ref="B25:D25"/>
    <mergeCell ref="B23:D23"/>
    <mergeCell ref="B26:D26"/>
    <mergeCell ref="B16:D16"/>
    <mergeCell ref="B17:D17"/>
    <mergeCell ref="B18:D18"/>
    <mergeCell ref="B19:D19"/>
    <mergeCell ref="B21:D21"/>
    <mergeCell ref="B22:D22"/>
    <mergeCell ref="D13:F13"/>
    <mergeCell ref="A7:C7"/>
    <mergeCell ref="A8:C8"/>
    <mergeCell ref="A9:C9"/>
    <mergeCell ref="E6:G6"/>
    <mergeCell ref="C30:F30"/>
    <mergeCell ref="A31:F31"/>
    <mergeCell ref="A6:C6"/>
    <mergeCell ref="A10:C10"/>
    <mergeCell ref="B20:D20"/>
    <mergeCell ref="A28:C28"/>
    <mergeCell ref="B27:D27"/>
    <mergeCell ref="D28:F28"/>
    <mergeCell ref="E7:G7"/>
    <mergeCell ref="E8:G8"/>
    <mergeCell ref="E9:G9"/>
    <mergeCell ref="E10:G10"/>
    <mergeCell ref="B24:D24"/>
  </mergeCells>
  <phoneticPr fontId="8" type="noConversion"/>
  <conditionalFormatting sqref="G13">
    <cfRule type="expression" dxfId="36" priority="3">
      <formula>ISBLANK($G$13)</formula>
    </cfRule>
  </conditionalFormatting>
  <conditionalFormatting sqref="A25:A27">
    <cfRule type="expression" dxfId="35" priority="2">
      <formula>ISBLANK($B25)</formula>
    </cfRule>
  </conditionalFormatting>
  <conditionalFormatting sqref="G25:G27">
    <cfRule type="expression" dxfId="34" priority="1">
      <formula>AND(ISBLANK($B25),$G25=0)</formula>
    </cfRule>
  </conditionalFormatting>
  <printOptions horizontalCentered="1"/>
  <pageMargins left="0.79000000000000015" right="0.59" top="0.39000000000000007" bottom="0.75000000000000011" header="0.2" footer="0.30000000000000004"/>
  <pageSetup paperSize="9" scale="94" orientation="portrait" r:id="rId1"/>
  <ignoredErrors>
    <ignoredError sqref="E17:E21 G17:G21" evalError="1"/>
  </ignoredErrors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Tabelle11">
    <pageSetUpPr fitToPage="1"/>
  </sheetPr>
  <dimension ref="A1:L36"/>
  <sheetViews>
    <sheetView showGridLines="0" showRowColHeaders="0" workbookViewId="0">
      <selection activeCell="G13" sqref="G13"/>
    </sheetView>
  </sheetViews>
  <sheetFormatPr baseColWidth="10" defaultRowHeight="15.75"/>
  <cols>
    <col min="1" max="1" width="5.5" customWidth="1"/>
    <col min="3" max="3" width="21.5" customWidth="1"/>
    <col min="4" max="4" width="11" customWidth="1"/>
    <col min="5" max="5" width="11.625" customWidth="1"/>
    <col min="7" max="7" width="14.125" customWidth="1"/>
  </cols>
  <sheetData>
    <row r="1" spans="1:12" ht="26.25">
      <c r="A1" s="454" t="str">
        <f>Header1</f>
        <v>JUNIOR EUROPEAN JUDO CUP</v>
      </c>
      <c r="B1" s="454"/>
      <c r="C1" s="454"/>
      <c r="D1" s="454"/>
      <c r="E1" s="454"/>
      <c r="F1" s="454"/>
      <c r="G1" s="454"/>
      <c r="H1" s="30"/>
      <c r="I1" s="30"/>
      <c r="J1" s="30"/>
      <c r="K1" s="30"/>
      <c r="L1" s="30"/>
    </row>
    <row r="2" spans="1:12" ht="38.1" customHeight="1">
      <c r="A2" s="455" t="str">
        <f>Header2</f>
        <v>IJF WORLD JUNIOR TOUR, June, 02 and 03, 2018 
EJU JUNIOR TRAINING CAMP, June 04 to 06, 2018 (Leibnitz - Austria)</v>
      </c>
      <c r="B2" s="455"/>
      <c r="C2" s="455"/>
      <c r="D2" s="455"/>
      <c r="E2" s="455"/>
      <c r="F2" s="455"/>
      <c r="G2" s="455"/>
      <c r="H2" s="38"/>
      <c r="I2" s="38"/>
      <c r="J2" s="38"/>
      <c r="K2" s="38"/>
      <c r="L2" s="38"/>
    </row>
    <row r="6" spans="1:12">
      <c r="A6" s="663" t="s">
        <v>256</v>
      </c>
      <c r="B6" s="663"/>
      <c r="C6" s="663"/>
      <c r="D6" s="39"/>
      <c r="E6" s="663" t="s">
        <v>252</v>
      </c>
      <c r="F6" s="663"/>
      <c r="G6" s="663"/>
    </row>
    <row r="7" spans="1:12">
      <c r="A7" s="664">
        <f>Kontrolle!C1</f>
        <v>0</v>
      </c>
      <c r="B7" s="664"/>
      <c r="C7" s="664"/>
      <c r="E7" s="664" t="s">
        <v>253</v>
      </c>
      <c r="F7" s="664"/>
      <c r="G7" s="664"/>
    </row>
    <row r="8" spans="1:12">
      <c r="A8" s="664" t="str">
        <f>IF(ISBLANK(Kontrolle!I2),"",Kontrolle!I2)</f>
        <v/>
      </c>
      <c r="B8" s="664"/>
      <c r="C8" s="664"/>
      <c r="E8" s="664" t="s">
        <v>257</v>
      </c>
      <c r="F8" s="664"/>
      <c r="G8" s="664"/>
    </row>
    <row r="9" spans="1:12">
      <c r="A9" s="664" t="str">
        <f>IF(ISBLANK(Kontrolle!I3),"",Kontrolle!I3)</f>
        <v/>
      </c>
      <c r="B9" s="664"/>
      <c r="C9" s="664"/>
      <c r="E9" s="664" t="s">
        <v>254</v>
      </c>
      <c r="F9" s="664"/>
      <c r="G9" s="664"/>
    </row>
    <row r="10" spans="1:12">
      <c r="A10" s="664" t="str">
        <f>IF(ISBLANK(Kontrolle!I4),"",Kontrolle!I4)</f>
        <v/>
      </c>
      <c r="B10" s="664"/>
      <c r="C10" s="664"/>
      <c r="E10" s="664" t="s">
        <v>255</v>
      </c>
      <c r="F10" s="664"/>
      <c r="G10" s="664"/>
    </row>
    <row r="13" spans="1:12" ht="21">
      <c r="A13" s="294" t="s">
        <v>213</v>
      </c>
      <c r="D13" s="672" t="s">
        <v>220</v>
      </c>
      <c r="E13" s="672"/>
      <c r="F13" s="672"/>
      <c r="G13" s="78"/>
    </row>
    <row r="14" spans="1:12">
      <c r="A14" s="295" t="str">
        <f>InvoiceSubtitle</f>
        <v>Junior European Judo Cup 2018, Leibnitz - Austria</v>
      </c>
    </row>
    <row r="15" spans="1:12" ht="16.5" thickBot="1"/>
    <row r="16" spans="1:12" ht="35.1" customHeight="1">
      <c r="A16" s="297" t="s">
        <v>215</v>
      </c>
      <c r="B16" s="673" t="s">
        <v>216</v>
      </c>
      <c r="C16" s="673"/>
      <c r="D16" s="673"/>
      <c r="E16" s="298" t="s">
        <v>217</v>
      </c>
      <c r="F16" s="298" t="s">
        <v>218</v>
      </c>
      <c r="G16" s="299" t="s">
        <v>219</v>
      </c>
    </row>
    <row r="17" spans="1:8" ht="24" customHeight="1">
      <c r="A17" s="300">
        <v>1</v>
      </c>
      <c r="B17" s="665" t="str">
        <f>Voucher!A11</f>
        <v>Einzelzimmer / Single Room</v>
      </c>
      <c r="C17" s="665"/>
      <c r="D17" s="665"/>
      <c r="E17" s="301" t="e">
        <f>IF(ISBLANK(Kontrolle!H78),Kontrolle!$E78,Kontrolle!H78)</f>
        <v>#N/A</v>
      </c>
      <c r="F17" s="302">
        <f ca="1">Kontrolle!D78</f>
        <v>0</v>
      </c>
      <c r="G17" s="303" t="e">
        <f ca="1">E17*F17</f>
        <v>#N/A</v>
      </c>
    </row>
    <row r="18" spans="1:8" ht="24" customHeight="1">
      <c r="A18" s="300">
        <f>A17+1</f>
        <v>2</v>
      </c>
      <c r="B18" s="665" t="str">
        <f>Voucher!A12</f>
        <v>Doppelzimmer / Double Room</v>
      </c>
      <c r="C18" s="665"/>
      <c r="D18" s="665"/>
      <c r="E18" s="301" t="e">
        <f>IF(ISBLANK(Kontrolle!H79),Kontrolle!$E79,Kontrolle!H79)</f>
        <v>#N/A</v>
      </c>
      <c r="F18" s="302">
        <f ca="1">Kontrolle!D79</f>
        <v>0</v>
      </c>
      <c r="G18" s="303" t="e">
        <f t="shared" ref="G18:G23" ca="1" si="0">E18*F18</f>
        <v>#N/A</v>
      </c>
    </row>
    <row r="19" spans="1:8" ht="24" customHeight="1">
      <c r="A19" s="300">
        <f t="shared" ref="A19:A23" si="1">A18+1</f>
        <v>3</v>
      </c>
      <c r="B19" s="665" t="str">
        <f>Voucher!A13</f>
        <v>Mehrbettzimmer / Shared Room</v>
      </c>
      <c r="C19" s="665"/>
      <c r="D19" s="665"/>
      <c r="E19" s="301" t="e">
        <f>IF(ISBLANK(Kontrolle!H80),Kontrolle!$E80,Kontrolle!H80)</f>
        <v>#N/A</v>
      </c>
      <c r="F19" s="302">
        <f ca="1">Kontrolle!D80</f>
        <v>0</v>
      </c>
      <c r="G19" s="303" t="e">
        <f t="shared" ca="1" si="0"/>
        <v>#N/A</v>
      </c>
    </row>
    <row r="20" spans="1:8" ht="24" customHeight="1">
      <c r="A20" s="300">
        <f t="shared" si="1"/>
        <v>4</v>
      </c>
      <c r="B20" s="665" t="str">
        <f>Voucher!A16</f>
        <v>Halbpension / Halfboard</v>
      </c>
      <c r="C20" s="665"/>
      <c r="D20" s="665"/>
      <c r="E20" s="301" t="e">
        <f>IF(ISBLANK(Kontrolle!H81),Kontrolle!$E81,Kontrolle!H81)</f>
        <v>#N/A</v>
      </c>
      <c r="F20" s="302">
        <f ca="1">Kontrolle!D81</f>
        <v>0</v>
      </c>
      <c r="G20" s="303" t="e">
        <f t="shared" ca="1" si="0"/>
        <v>#N/A</v>
      </c>
    </row>
    <row r="21" spans="1:8" ht="24" customHeight="1">
      <c r="A21" s="300">
        <f t="shared" si="1"/>
        <v>5</v>
      </c>
      <c r="B21" s="665" t="str">
        <f>Voucher!A17</f>
        <v>Vollpension / Fullboard</v>
      </c>
      <c r="C21" s="665"/>
      <c r="D21" s="665"/>
      <c r="E21" s="301" t="e">
        <f>IF(ISBLANK(Kontrolle!H82),Kontrolle!$E82,Kontrolle!H82)</f>
        <v>#N/A</v>
      </c>
      <c r="F21" s="302">
        <f ca="1">Kontrolle!D82</f>
        <v>0</v>
      </c>
      <c r="G21" s="303" t="e">
        <f t="shared" ca="1" si="0"/>
        <v>#N/A</v>
      </c>
    </row>
    <row r="22" spans="1:8" ht="24" customHeight="1">
      <c r="A22" s="300">
        <f t="shared" si="1"/>
        <v>6</v>
      </c>
      <c r="B22" s="665" t="str">
        <f>Kontrolle!A83</f>
        <v>Accreditation Fee</v>
      </c>
      <c r="C22" s="665"/>
      <c r="D22" s="665"/>
      <c r="E22" s="301">
        <f>IF(ISBLANK(Kontrolle!H83),Kontrolle!$E83,Kontrolle!H83)</f>
        <v>80</v>
      </c>
      <c r="F22" s="302">
        <f>Kontrolle!D83</f>
        <v>0</v>
      </c>
      <c r="G22" s="303">
        <f t="shared" si="0"/>
        <v>0</v>
      </c>
    </row>
    <row r="23" spans="1:8" ht="24" customHeight="1">
      <c r="A23" s="300">
        <f t="shared" si="1"/>
        <v>7</v>
      </c>
      <c r="B23" s="665" t="str">
        <f>Kontrolle!A85</f>
        <v>Shuttle service</v>
      </c>
      <c r="C23" s="665"/>
      <c r="D23" s="665"/>
      <c r="E23" s="301">
        <f>IF(ISBLANK(Kontrolle!H85),Kontrolle!$E85,Kontrolle!H85)</f>
        <v>0</v>
      </c>
      <c r="F23" s="302">
        <f ca="1">Kontrolle!D85</f>
        <v>0</v>
      </c>
      <c r="G23" s="303">
        <f t="shared" ca="1" si="0"/>
        <v>0</v>
      </c>
    </row>
    <row r="24" spans="1:8" ht="24" customHeight="1">
      <c r="A24" s="300">
        <f>A23+1</f>
        <v>8</v>
      </c>
      <c r="B24" s="665" t="s">
        <v>275</v>
      </c>
      <c r="C24" s="665"/>
      <c r="D24" s="665"/>
      <c r="E24" s="301" t="e">
        <f ca="1">IF(ISBLANK(Kontrolle!$H86),Kontrolle!$E86,Kontrolle!$H86)</f>
        <v>#N/A</v>
      </c>
      <c r="F24" s="302" t="e">
        <f ca="1">IF(E24&lt;&gt;0,1,0)</f>
        <v>#N/A</v>
      </c>
      <c r="G24" s="303" t="e">
        <f ca="1">E24*F24</f>
        <v>#N/A</v>
      </c>
    </row>
    <row r="25" spans="1:8" ht="24" customHeight="1">
      <c r="A25" s="300">
        <f>A24+1</f>
        <v>9</v>
      </c>
      <c r="B25" s="669"/>
      <c r="C25" s="669"/>
      <c r="D25" s="669"/>
      <c r="E25" s="304"/>
      <c r="F25" s="305"/>
      <c r="G25" s="303">
        <f>E25*F25</f>
        <v>0</v>
      </c>
    </row>
    <row r="26" spans="1:8" ht="24" customHeight="1">
      <c r="A26" s="300">
        <f>A25+1</f>
        <v>10</v>
      </c>
      <c r="B26" s="669"/>
      <c r="C26" s="669"/>
      <c r="D26" s="669"/>
      <c r="E26" s="304"/>
      <c r="F26" s="305"/>
      <c r="G26" s="303">
        <f>E26*F26</f>
        <v>0</v>
      </c>
    </row>
    <row r="27" spans="1:8" ht="24" customHeight="1" thickBot="1">
      <c r="A27" s="306">
        <f>A26+1</f>
        <v>11</v>
      </c>
      <c r="B27" s="667"/>
      <c r="C27" s="667"/>
      <c r="D27" s="667"/>
      <c r="E27" s="307"/>
      <c r="F27" s="308"/>
      <c r="G27" s="309">
        <f>E27*F27</f>
        <v>0</v>
      </c>
    </row>
    <row r="28" spans="1:8" ht="24" customHeight="1" thickBot="1">
      <c r="A28" s="666" t="s">
        <v>230</v>
      </c>
      <c r="B28" s="666"/>
      <c r="C28" s="666"/>
      <c r="D28" s="668" t="s">
        <v>222</v>
      </c>
      <c r="E28" s="668"/>
      <c r="F28" s="668"/>
      <c r="G28" s="317" t="e">
        <f ca="1">SUM(G17:G27)</f>
        <v>#N/A</v>
      </c>
    </row>
    <row r="29" spans="1:8" ht="16.5" thickTop="1"/>
    <row r="30" spans="1:8">
      <c r="A30" s="40"/>
      <c r="B30" s="40"/>
      <c r="C30" s="661"/>
      <c r="D30" s="661"/>
      <c r="E30" s="661"/>
      <c r="F30" s="661"/>
      <c r="G30" s="42"/>
      <c r="H30" s="42"/>
    </row>
    <row r="31" spans="1:8" ht="114" customHeight="1">
      <c r="A31" s="662" t="s">
        <v>223</v>
      </c>
      <c r="B31" s="662"/>
      <c r="C31" s="662"/>
      <c r="D31" s="662"/>
      <c r="E31" s="662"/>
      <c r="F31" s="662"/>
      <c r="G31" s="41"/>
      <c r="H31" s="41"/>
    </row>
    <row r="32" spans="1:8">
      <c r="G32" s="41"/>
      <c r="H32" s="41"/>
    </row>
    <row r="33" spans="7:8">
      <c r="G33" s="41"/>
      <c r="H33" s="41"/>
    </row>
    <row r="34" spans="7:8">
      <c r="G34" s="41"/>
      <c r="H34" s="41"/>
    </row>
    <row r="35" spans="7:8">
      <c r="G35" s="41"/>
      <c r="H35" s="41"/>
    </row>
    <row r="36" spans="7:8">
      <c r="G36" s="41"/>
      <c r="H36" s="41"/>
    </row>
  </sheetData>
  <sheetProtection password="E8E9" sheet="1" objects="1" scenarios="1" selectLockedCells="1"/>
  <mergeCells count="29">
    <mergeCell ref="B17:D17"/>
    <mergeCell ref="B18:D18"/>
    <mergeCell ref="E6:G6"/>
    <mergeCell ref="E7:G7"/>
    <mergeCell ref="E8:G8"/>
    <mergeCell ref="E9:G9"/>
    <mergeCell ref="E10:G10"/>
    <mergeCell ref="B16:D16"/>
    <mergeCell ref="A1:G1"/>
    <mergeCell ref="A2:G2"/>
    <mergeCell ref="A6:C6"/>
    <mergeCell ref="A7:C7"/>
    <mergeCell ref="A8:C8"/>
    <mergeCell ref="B24:D24"/>
    <mergeCell ref="B19:D19"/>
    <mergeCell ref="A9:C9"/>
    <mergeCell ref="A10:C10"/>
    <mergeCell ref="A31:F31"/>
    <mergeCell ref="B20:D20"/>
    <mergeCell ref="B21:D21"/>
    <mergeCell ref="B22:D22"/>
    <mergeCell ref="B23:D23"/>
    <mergeCell ref="B25:D25"/>
    <mergeCell ref="B26:D26"/>
    <mergeCell ref="B27:D27"/>
    <mergeCell ref="A28:C28"/>
    <mergeCell ref="D28:F28"/>
    <mergeCell ref="C30:F30"/>
    <mergeCell ref="D13:F13"/>
  </mergeCells>
  <phoneticPr fontId="8" type="noConversion"/>
  <conditionalFormatting sqref="G13">
    <cfRule type="expression" dxfId="33" priority="4">
      <formula>ISBLANK($G$13)</formula>
    </cfRule>
  </conditionalFormatting>
  <conditionalFormatting sqref="A25:A27">
    <cfRule type="expression" dxfId="32" priority="3">
      <formula>ISBLANK($B25)</formula>
    </cfRule>
  </conditionalFormatting>
  <conditionalFormatting sqref="G25:G27">
    <cfRule type="expression" dxfId="31" priority="2">
      <formula>AND(ISBLANK($B25),$G25=0)</formula>
    </cfRule>
  </conditionalFormatting>
  <conditionalFormatting sqref="A24">
    <cfRule type="expression" dxfId="30" priority="1">
      <formula>ISBLANK($B24)</formula>
    </cfRule>
  </conditionalFormatting>
  <printOptions horizontalCentered="1"/>
  <pageMargins left="0.79000000000000015" right="0.59" top="0.39000000000000007" bottom="0.75000000000000011" header="0.2" footer="0.30000000000000004"/>
  <pageSetup paperSize="9" scale="94" orientation="portrait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Tabelle12">
    <pageSetUpPr fitToPage="1"/>
  </sheetPr>
  <dimension ref="A1:L35"/>
  <sheetViews>
    <sheetView showGridLines="0" showRowColHeaders="0" workbookViewId="0">
      <selection activeCell="F17" sqref="F17"/>
    </sheetView>
  </sheetViews>
  <sheetFormatPr baseColWidth="10" defaultRowHeight="15.75"/>
  <cols>
    <col min="1" max="1" width="5.5" customWidth="1"/>
    <col min="3" max="3" width="21.5" customWidth="1"/>
    <col min="4" max="4" width="11" customWidth="1"/>
    <col min="5" max="5" width="11.625" customWidth="1"/>
    <col min="7" max="7" width="14.125" customWidth="1"/>
  </cols>
  <sheetData>
    <row r="1" spans="1:12" ht="26.25">
      <c r="A1" s="454" t="str">
        <f>Header1</f>
        <v>JUNIOR EUROPEAN JUDO CUP</v>
      </c>
      <c r="B1" s="454"/>
      <c r="C1" s="454"/>
      <c r="D1" s="454"/>
      <c r="E1" s="454"/>
      <c r="F1" s="454"/>
      <c r="G1" s="454"/>
      <c r="H1" s="30"/>
      <c r="I1" s="30"/>
      <c r="J1" s="30"/>
      <c r="K1" s="30"/>
      <c r="L1" s="30"/>
    </row>
    <row r="2" spans="1:12" ht="38.1" customHeight="1">
      <c r="A2" s="455" t="str">
        <f>Header2</f>
        <v>IJF WORLD JUNIOR TOUR, June, 02 and 03, 2018 
EJU JUNIOR TRAINING CAMP, June 04 to 06, 2018 (Leibnitz - Austria)</v>
      </c>
      <c r="B2" s="455"/>
      <c r="C2" s="455"/>
      <c r="D2" s="455"/>
      <c r="E2" s="455"/>
      <c r="F2" s="455"/>
      <c r="G2" s="455"/>
      <c r="H2" s="38"/>
      <c r="I2" s="38"/>
      <c r="J2" s="38"/>
      <c r="K2" s="38"/>
      <c r="L2" s="38"/>
    </row>
    <row r="6" spans="1:12">
      <c r="A6" s="663" t="s">
        <v>256</v>
      </c>
      <c r="B6" s="663"/>
      <c r="C6" s="663"/>
      <c r="D6" s="318"/>
      <c r="E6" s="663" t="s">
        <v>252</v>
      </c>
      <c r="F6" s="663"/>
      <c r="G6" s="663"/>
    </row>
    <row r="7" spans="1:12">
      <c r="A7" s="664">
        <f>Kontrolle!C1</f>
        <v>0</v>
      </c>
      <c r="B7" s="664"/>
      <c r="C7" s="664"/>
      <c r="E7" s="664" t="s">
        <v>253</v>
      </c>
      <c r="F7" s="664"/>
      <c r="G7" s="664"/>
    </row>
    <row r="8" spans="1:12">
      <c r="A8" s="664" t="str">
        <f>IF(ISBLANK(Kontrolle!I2),"",Kontrolle!I2)</f>
        <v/>
      </c>
      <c r="B8" s="664"/>
      <c r="C8" s="664"/>
      <c r="E8" s="664" t="s">
        <v>257</v>
      </c>
      <c r="F8" s="664"/>
      <c r="G8" s="664"/>
    </row>
    <row r="9" spans="1:12">
      <c r="A9" s="664" t="str">
        <f>IF(ISBLANK(Kontrolle!I3),"",Kontrolle!I3)</f>
        <v/>
      </c>
      <c r="B9" s="664"/>
      <c r="C9" s="664"/>
      <c r="E9" s="664" t="s">
        <v>254</v>
      </c>
      <c r="F9" s="664"/>
      <c r="G9" s="664"/>
    </row>
    <row r="10" spans="1:12">
      <c r="A10" s="664" t="str">
        <f>IF(ISBLANK(Kontrolle!I4),"",Kontrolle!I4)</f>
        <v/>
      </c>
      <c r="B10" s="664"/>
      <c r="C10" s="664"/>
      <c r="E10" s="664" t="s">
        <v>255</v>
      </c>
      <c r="F10" s="664"/>
      <c r="G10" s="664"/>
    </row>
    <row r="13" spans="1:12" ht="21">
      <c r="A13" s="294" t="s">
        <v>213</v>
      </c>
      <c r="B13" s="293"/>
      <c r="C13" s="293"/>
      <c r="D13" s="672" t="s">
        <v>220</v>
      </c>
      <c r="E13" s="672"/>
      <c r="F13" s="672"/>
      <c r="G13" s="78"/>
    </row>
    <row r="14" spans="1:12">
      <c r="A14" s="295" t="str">
        <f>InvoiceSubtitle</f>
        <v>Junior European Judo Cup 2018, Leibnitz - Austria</v>
      </c>
      <c r="B14" s="293"/>
      <c r="C14" s="293"/>
      <c r="D14" s="293"/>
      <c r="E14" s="293"/>
      <c r="F14" s="293"/>
    </row>
    <row r="15" spans="1:12" ht="16.5" thickBot="1"/>
    <row r="16" spans="1:12" ht="35.1" customHeight="1" thickBot="1">
      <c r="A16" s="314" t="s">
        <v>215</v>
      </c>
      <c r="B16" s="670" t="s">
        <v>216</v>
      </c>
      <c r="C16" s="670"/>
      <c r="D16" s="670"/>
      <c r="E16" s="315" t="s">
        <v>217</v>
      </c>
      <c r="F16" s="315" t="s">
        <v>218</v>
      </c>
      <c r="G16" s="316" t="s">
        <v>219</v>
      </c>
    </row>
    <row r="17" spans="1:8" ht="24" customHeight="1">
      <c r="A17" s="310">
        <v>1</v>
      </c>
      <c r="B17" s="674"/>
      <c r="C17" s="674"/>
      <c r="D17" s="674"/>
      <c r="E17" s="319"/>
      <c r="F17" s="320"/>
      <c r="G17" s="313">
        <f>E17*F17</f>
        <v>0</v>
      </c>
    </row>
    <row r="18" spans="1:8" ht="24" customHeight="1">
      <c r="A18" s="300">
        <f>A17+1</f>
        <v>2</v>
      </c>
      <c r="B18" s="669"/>
      <c r="C18" s="669"/>
      <c r="D18" s="669"/>
      <c r="E18" s="304"/>
      <c r="F18" s="305"/>
      <c r="G18" s="303">
        <f t="shared" ref="G18:G26" si="0">E18*F18</f>
        <v>0</v>
      </c>
    </row>
    <row r="19" spans="1:8" ht="24" customHeight="1">
      <c r="A19" s="300">
        <f t="shared" ref="A19:A26" si="1">A18+1</f>
        <v>3</v>
      </c>
      <c r="B19" s="669"/>
      <c r="C19" s="669"/>
      <c r="D19" s="669"/>
      <c r="E19" s="304"/>
      <c r="F19" s="305"/>
      <c r="G19" s="303">
        <f t="shared" si="0"/>
        <v>0</v>
      </c>
    </row>
    <row r="20" spans="1:8" ht="24" customHeight="1">
      <c r="A20" s="300">
        <f t="shared" si="1"/>
        <v>4</v>
      </c>
      <c r="B20" s="669"/>
      <c r="C20" s="669"/>
      <c r="D20" s="669"/>
      <c r="E20" s="304"/>
      <c r="F20" s="305"/>
      <c r="G20" s="303">
        <f t="shared" si="0"/>
        <v>0</v>
      </c>
    </row>
    <row r="21" spans="1:8" ht="24" customHeight="1">
      <c r="A21" s="300">
        <f t="shared" si="1"/>
        <v>5</v>
      </c>
      <c r="B21" s="669"/>
      <c r="C21" s="669"/>
      <c r="D21" s="669"/>
      <c r="E21" s="304"/>
      <c r="F21" s="305"/>
      <c r="G21" s="303">
        <f t="shared" si="0"/>
        <v>0</v>
      </c>
    </row>
    <row r="22" spans="1:8" ht="24" customHeight="1">
      <c r="A22" s="300">
        <f t="shared" si="1"/>
        <v>6</v>
      </c>
      <c r="B22" s="669"/>
      <c r="C22" s="669"/>
      <c r="D22" s="669"/>
      <c r="E22" s="304"/>
      <c r="F22" s="305"/>
      <c r="G22" s="303">
        <f t="shared" si="0"/>
        <v>0</v>
      </c>
    </row>
    <row r="23" spans="1:8" ht="24" customHeight="1">
      <c r="A23" s="300">
        <f t="shared" si="1"/>
        <v>7</v>
      </c>
      <c r="B23" s="669"/>
      <c r="C23" s="669"/>
      <c r="D23" s="669"/>
      <c r="E23" s="304"/>
      <c r="F23" s="305"/>
      <c r="G23" s="303">
        <f t="shared" si="0"/>
        <v>0</v>
      </c>
    </row>
    <row r="24" spans="1:8" ht="24" customHeight="1">
      <c r="A24" s="300">
        <f t="shared" si="1"/>
        <v>8</v>
      </c>
      <c r="B24" s="669"/>
      <c r="C24" s="669"/>
      <c r="D24" s="669"/>
      <c r="E24" s="304"/>
      <c r="F24" s="305"/>
      <c r="G24" s="303">
        <f t="shared" si="0"/>
        <v>0</v>
      </c>
    </row>
    <row r="25" spans="1:8" ht="24" customHeight="1">
      <c r="A25" s="300">
        <f t="shared" si="1"/>
        <v>9</v>
      </c>
      <c r="B25" s="669"/>
      <c r="C25" s="669"/>
      <c r="D25" s="669"/>
      <c r="E25" s="304"/>
      <c r="F25" s="305"/>
      <c r="G25" s="303">
        <f t="shared" si="0"/>
        <v>0</v>
      </c>
    </row>
    <row r="26" spans="1:8" ht="24" customHeight="1" thickBot="1">
      <c r="A26" s="306">
        <f t="shared" si="1"/>
        <v>10</v>
      </c>
      <c r="B26" s="667"/>
      <c r="C26" s="667"/>
      <c r="D26" s="667"/>
      <c r="E26" s="307"/>
      <c r="F26" s="308"/>
      <c r="G26" s="309">
        <f t="shared" si="0"/>
        <v>0</v>
      </c>
    </row>
    <row r="27" spans="1:8" ht="24" customHeight="1" thickBot="1">
      <c r="A27" s="666" t="s">
        <v>230</v>
      </c>
      <c r="B27" s="666"/>
      <c r="C27" s="666"/>
      <c r="D27" s="668" t="s">
        <v>222</v>
      </c>
      <c r="E27" s="668"/>
      <c r="F27" s="668"/>
      <c r="G27" s="296">
        <f>SUM(G17:G26)</f>
        <v>0</v>
      </c>
    </row>
    <row r="28" spans="1:8" ht="16.5" thickTop="1"/>
    <row r="29" spans="1:8">
      <c r="A29" s="40"/>
      <c r="B29" s="40"/>
      <c r="C29" s="661"/>
      <c r="D29" s="661"/>
      <c r="E29" s="661"/>
      <c r="F29" s="661"/>
      <c r="G29" s="42"/>
      <c r="H29" s="42"/>
    </row>
    <row r="30" spans="1:8" ht="114" customHeight="1">
      <c r="A30" s="662" t="s">
        <v>223</v>
      </c>
      <c r="B30" s="662"/>
      <c r="C30" s="662"/>
      <c r="D30" s="662"/>
      <c r="E30" s="662"/>
      <c r="F30" s="662"/>
      <c r="G30" s="41"/>
      <c r="H30" s="41"/>
    </row>
    <row r="31" spans="1:8">
      <c r="G31" s="41"/>
      <c r="H31" s="41"/>
    </row>
    <row r="32" spans="1:8">
      <c r="G32" s="41"/>
      <c r="H32" s="41"/>
    </row>
    <row r="33" spans="7:8">
      <c r="G33" s="41"/>
      <c r="H33" s="41"/>
    </row>
    <row r="34" spans="7:8">
      <c r="G34" s="41"/>
      <c r="H34" s="41"/>
    </row>
    <row r="35" spans="7:8">
      <c r="G35" s="41"/>
      <c r="H35" s="41"/>
    </row>
  </sheetData>
  <sheetProtection password="E8E9" sheet="1" objects="1" scenarios="1" selectLockedCells="1"/>
  <mergeCells count="28">
    <mergeCell ref="B26:D26"/>
    <mergeCell ref="A27:C27"/>
    <mergeCell ref="D27:F27"/>
    <mergeCell ref="C29:F29"/>
    <mergeCell ref="A30:F30"/>
    <mergeCell ref="B25:D25"/>
    <mergeCell ref="A10:C10"/>
    <mergeCell ref="D13:F13"/>
    <mergeCell ref="B16:D16"/>
    <mergeCell ref="B17:D17"/>
    <mergeCell ref="B18:D18"/>
    <mergeCell ref="B19:D19"/>
    <mergeCell ref="E10:G10"/>
    <mergeCell ref="B20:D20"/>
    <mergeCell ref="B21:D21"/>
    <mergeCell ref="B22:D22"/>
    <mergeCell ref="B23:D23"/>
    <mergeCell ref="B24:D24"/>
    <mergeCell ref="A1:G1"/>
    <mergeCell ref="A2:G2"/>
    <mergeCell ref="A6:C6"/>
    <mergeCell ref="A7:C7"/>
    <mergeCell ref="A8:C8"/>
    <mergeCell ref="A9:C9"/>
    <mergeCell ref="E6:G6"/>
    <mergeCell ref="E7:G7"/>
    <mergeCell ref="E8:G8"/>
    <mergeCell ref="E9:G9"/>
  </mergeCells>
  <phoneticPr fontId="8" type="noConversion"/>
  <conditionalFormatting sqref="G13">
    <cfRule type="expression" dxfId="29" priority="3">
      <formula>ISBLANK($G$13)</formula>
    </cfRule>
  </conditionalFormatting>
  <conditionalFormatting sqref="A17:A26">
    <cfRule type="expression" dxfId="28" priority="2">
      <formula>ISBLANK($B17)</formula>
    </cfRule>
  </conditionalFormatting>
  <conditionalFormatting sqref="G24:G26">
    <cfRule type="expression" dxfId="27" priority="1">
      <formula>AND(ISBLANK($B24),$G24=0)</formula>
    </cfRule>
  </conditionalFormatting>
  <printOptions horizontalCentered="1"/>
  <pageMargins left="0.79000000000000015" right="0.59" top="0.39000000000000007" bottom="0.75000000000000011" header="0.2" footer="0.30000000000000004"/>
  <pageSetup paperSize="9" scale="94" orientation="portrait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Tabelle13"/>
  <dimension ref="A1:G2"/>
  <sheetViews>
    <sheetView showGridLines="0" showRowColHeaders="0" workbookViewId="0">
      <selection activeCell="F2" sqref="F2"/>
    </sheetView>
  </sheetViews>
  <sheetFormatPr baseColWidth="10" defaultColWidth="10.875" defaultRowHeight="15.75"/>
  <cols>
    <col min="1" max="1" width="24.625" style="92" customWidth="1"/>
    <col min="2" max="2" width="22.125" style="92" customWidth="1"/>
    <col min="3" max="3" width="13.125" style="92" customWidth="1"/>
    <col min="4" max="4" width="22.875" style="92" customWidth="1"/>
    <col min="5" max="5" width="22.625" style="92" customWidth="1"/>
    <col min="6" max="6" width="24.375" style="92" bestFit="1" customWidth="1"/>
    <col min="7" max="7" width="23" style="92" bestFit="1" customWidth="1"/>
    <col min="8" max="16384" width="10.875" style="92"/>
  </cols>
  <sheetData>
    <row r="1" spans="1:7" s="118" customFormat="1">
      <c r="A1" s="115" t="s">
        <v>84</v>
      </c>
      <c r="B1" s="116" t="s">
        <v>85</v>
      </c>
      <c r="C1" s="116" t="s">
        <v>62</v>
      </c>
      <c r="D1" s="116" t="s">
        <v>86</v>
      </c>
      <c r="E1" s="117" t="s">
        <v>87</v>
      </c>
      <c r="F1" s="116" t="s">
        <v>198</v>
      </c>
      <c r="G1" s="116" t="s">
        <v>199</v>
      </c>
    </row>
    <row r="2" spans="1:7" ht="23.1" customHeight="1">
      <c r="A2" s="119" t="str">
        <f>IF(ISBLANK(Federation),"",Federation)</f>
        <v/>
      </c>
      <c r="B2" s="120" t="str">
        <f>IF(ISBLANK(ContactPerson),"",ContactPerson)</f>
        <v/>
      </c>
      <c r="C2" s="120" t="str">
        <f>IF(ISBLANK(Position),"",Position)</f>
        <v/>
      </c>
      <c r="D2" s="120" t="str">
        <f>IF(ISBLANK(PhoneNumber),"",PhoneNumber)</f>
        <v/>
      </c>
      <c r="E2" s="121" t="str">
        <f>IF(ISBLANK(Email),"",Email)</f>
        <v/>
      </c>
      <c r="F2" s="122" t="str">
        <f>IF(ISBLANK(Unterkunft),"",Unterkunft)</f>
        <v/>
      </c>
      <c r="G2" s="122" t="str">
        <f>IF(ISBLANK(AssignedCategory),"",AssignedCategory)</f>
        <v/>
      </c>
    </row>
  </sheetData>
  <sheetProtection password="E8E9" sheet="1" objects="1" scenarios="1"/>
  <phoneticPr fontId="8" type="noConversion"/>
  <pageMargins left="0.7" right="0.7" top="0.75" bottom="0.75" header="0.3" footer="0.3"/>
  <pageSetup paperSize="9" orientation="portrait" horizontalDpi="0" verticalDpi="0"/>
  <tableParts count="1">
    <tablePart r:id="rId1"/>
  </tablePart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pageSetUpPr fitToPage="1"/>
  </sheetPr>
  <dimension ref="A1:L36"/>
  <sheetViews>
    <sheetView showGridLines="0" showRowColHeaders="0" workbookViewId="0">
      <selection activeCell="G13" sqref="G13"/>
    </sheetView>
  </sheetViews>
  <sheetFormatPr baseColWidth="10" defaultRowHeight="15.75"/>
  <cols>
    <col min="1" max="1" width="5.5" customWidth="1"/>
    <col min="3" max="3" width="21.5" customWidth="1"/>
    <col min="4" max="4" width="11" customWidth="1"/>
    <col min="5" max="5" width="11.625" customWidth="1"/>
    <col min="7" max="7" width="14.125" customWidth="1"/>
  </cols>
  <sheetData>
    <row r="1" spans="1:12" ht="26.25">
      <c r="A1" s="454" t="str">
        <f>Header1</f>
        <v>JUNIOR EUROPEAN JUDO CUP</v>
      </c>
      <c r="B1" s="454"/>
      <c r="C1" s="454"/>
      <c r="D1" s="454"/>
      <c r="E1" s="454"/>
      <c r="F1" s="454"/>
      <c r="G1" s="454"/>
      <c r="H1" s="30"/>
      <c r="I1" s="30"/>
      <c r="J1" s="30"/>
      <c r="K1" s="30"/>
      <c r="L1" s="30"/>
    </row>
    <row r="2" spans="1:12" ht="38.1" customHeight="1">
      <c r="A2" s="455" t="str">
        <f>Header2</f>
        <v>IJF WORLD JUNIOR TOUR, June, 02 and 03, 2018 
EJU JUNIOR TRAINING CAMP, June 04 to 06, 2018 (Leibnitz - Austria)</v>
      </c>
      <c r="B2" s="455"/>
      <c r="C2" s="455"/>
      <c r="D2" s="455"/>
      <c r="E2" s="455"/>
      <c r="F2" s="455"/>
      <c r="G2" s="455"/>
      <c r="H2" s="38"/>
      <c r="I2" s="38"/>
      <c r="J2" s="38"/>
      <c r="K2" s="38"/>
      <c r="L2" s="38"/>
    </row>
    <row r="6" spans="1:12">
      <c r="A6" s="663" t="s">
        <v>256</v>
      </c>
      <c r="B6" s="663"/>
      <c r="C6" s="663"/>
      <c r="D6" s="39"/>
      <c r="E6" s="663" t="s">
        <v>252</v>
      </c>
      <c r="F6" s="663"/>
      <c r="G6" s="663"/>
    </row>
    <row r="7" spans="1:12">
      <c r="A7" s="664">
        <f>Kontrolle!C1</f>
        <v>0</v>
      </c>
      <c r="B7" s="664"/>
      <c r="C7" s="664"/>
      <c r="E7" s="664" t="s">
        <v>253</v>
      </c>
      <c r="F7" s="664"/>
      <c r="G7" s="664"/>
    </row>
    <row r="8" spans="1:12">
      <c r="A8" s="664" t="str">
        <f>IF(ISBLANK(Kontrolle!I2),"",Kontrolle!I2)</f>
        <v/>
      </c>
      <c r="B8" s="664"/>
      <c r="C8" s="664"/>
      <c r="E8" s="664" t="s">
        <v>257</v>
      </c>
      <c r="F8" s="664"/>
      <c r="G8" s="664"/>
    </row>
    <row r="9" spans="1:12">
      <c r="A9" s="664" t="str">
        <f>IF(ISBLANK(Kontrolle!I3),"",Kontrolle!I3)</f>
        <v/>
      </c>
      <c r="B9" s="664"/>
      <c r="C9" s="664"/>
      <c r="E9" s="664" t="s">
        <v>254</v>
      </c>
      <c r="F9" s="664"/>
      <c r="G9" s="664"/>
    </row>
    <row r="10" spans="1:12">
      <c r="A10" s="664" t="str">
        <f>IF(ISBLANK(Kontrolle!I4),"",Kontrolle!I4)</f>
        <v/>
      </c>
      <c r="B10" s="664"/>
      <c r="C10" s="664"/>
      <c r="E10" s="664" t="s">
        <v>255</v>
      </c>
      <c r="F10" s="664"/>
      <c r="G10" s="664"/>
    </row>
    <row r="13" spans="1:12" ht="21">
      <c r="A13" s="294" t="s">
        <v>213</v>
      </c>
      <c r="B13" s="293"/>
      <c r="D13" s="672" t="s">
        <v>220</v>
      </c>
      <c r="E13" s="672"/>
      <c r="F13" s="672"/>
      <c r="G13" s="78"/>
    </row>
    <row r="14" spans="1:12">
      <c r="A14" s="295" t="str">
        <f>InvoiceSubtitle</f>
        <v>Junior European Judo Cup 2018, Leibnitz - Austria</v>
      </c>
    </row>
    <row r="15" spans="1:12" ht="16.5" thickBot="1"/>
    <row r="16" spans="1:12" ht="35.1" customHeight="1" thickBot="1">
      <c r="A16" s="314" t="s">
        <v>215</v>
      </c>
      <c r="B16" s="670" t="s">
        <v>216</v>
      </c>
      <c r="C16" s="670"/>
      <c r="D16" s="670"/>
      <c r="E16" s="315" t="s">
        <v>217</v>
      </c>
      <c r="F16" s="315" t="s">
        <v>218</v>
      </c>
      <c r="G16" s="316" t="s">
        <v>219</v>
      </c>
    </row>
    <row r="17" spans="1:8" ht="24" customHeight="1">
      <c r="A17" s="310">
        <v>1</v>
      </c>
      <c r="B17" s="671" t="s">
        <v>304</v>
      </c>
      <c r="C17" s="671"/>
      <c r="D17" s="671"/>
      <c r="E17" s="311">
        <f>IF(ISBLANK(Kontrolle!F84),Kontrolle!$E84,Kontrolle!F84)</f>
        <v>10</v>
      </c>
      <c r="F17" s="312">
        <f>Kontrolle!D84</f>
        <v>0</v>
      </c>
      <c r="G17" s="313">
        <f>E17*F17</f>
        <v>0</v>
      </c>
    </row>
    <row r="18" spans="1:8" ht="24" customHeight="1">
      <c r="A18" s="300">
        <f>A17+1</f>
        <v>2</v>
      </c>
      <c r="B18" s="669"/>
      <c r="C18" s="669"/>
      <c r="D18" s="669"/>
      <c r="E18" s="304"/>
      <c r="F18" s="305"/>
      <c r="G18" s="303">
        <f t="shared" ref="G18:G23" si="0">E18*F18</f>
        <v>0</v>
      </c>
    </row>
    <row r="19" spans="1:8" ht="24" customHeight="1">
      <c r="A19" s="300">
        <f t="shared" ref="A19:A24" si="1">A18+1</f>
        <v>3</v>
      </c>
      <c r="B19" s="669"/>
      <c r="C19" s="669"/>
      <c r="D19" s="669"/>
      <c r="E19" s="304"/>
      <c r="F19" s="305"/>
      <c r="G19" s="303">
        <f t="shared" si="0"/>
        <v>0</v>
      </c>
    </row>
    <row r="20" spans="1:8" ht="24" customHeight="1">
      <c r="A20" s="300">
        <f t="shared" si="1"/>
        <v>4</v>
      </c>
      <c r="B20" s="669"/>
      <c r="C20" s="669"/>
      <c r="D20" s="669"/>
      <c r="E20" s="304"/>
      <c r="F20" s="305"/>
      <c r="G20" s="303">
        <f t="shared" si="0"/>
        <v>0</v>
      </c>
    </row>
    <row r="21" spans="1:8" ht="24" customHeight="1">
      <c r="A21" s="300">
        <f t="shared" si="1"/>
        <v>5</v>
      </c>
      <c r="B21" s="669"/>
      <c r="C21" s="669"/>
      <c r="D21" s="669"/>
      <c r="E21" s="304"/>
      <c r="F21" s="305"/>
      <c r="G21" s="303">
        <f t="shared" si="0"/>
        <v>0</v>
      </c>
    </row>
    <row r="22" spans="1:8" ht="24" customHeight="1">
      <c r="A22" s="300">
        <f t="shared" si="1"/>
        <v>6</v>
      </c>
      <c r="B22" s="669"/>
      <c r="C22" s="669"/>
      <c r="D22" s="669"/>
      <c r="E22" s="304"/>
      <c r="F22" s="305"/>
      <c r="G22" s="303">
        <f t="shared" si="0"/>
        <v>0</v>
      </c>
    </row>
    <row r="23" spans="1:8" ht="24" customHeight="1">
      <c r="A23" s="300">
        <f t="shared" si="1"/>
        <v>7</v>
      </c>
      <c r="B23" s="669"/>
      <c r="C23" s="669"/>
      <c r="D23" s="669"/>
      <c r="E23" s="304"/>
      <c r="F23" s="305"/>
      <c r="G23" s="303">
        <f t="shared" si="0"/>
        <v>0</v>
      </c>
    </row>
    <row r="24" spans="1:8" ht="24" customHeight="1">
      <c r="A24" s="300">
        <f t="shared" si="1"/>
        <v>8</v>
      </c>
      <c r="B24" s="669"/>
      <c r="C24" s="669"/>
      <c r="D24" s="669"/>
      <c r="E24" s="304"/>
      <c r="F24" s="305"/>
      <c r="G24" s="303">
        <f>E24*F24</f>
        <v>0</v>
      </c>
    </row>
    <row r="25" spans="1:8" ht="24" customHeight="1">
      <c r="A25" s="300">
        <f>A24+1</f>
        <v>9</v>
      </c>
      <c r="B25" s="669"/>
      <c r="C25" s="669"/>
      <c r="D25" s="669"/>
      <c r="E25" s="304"/>
      <c r="F25" s="305"/>
      <c r="G25" s="303">
        <f>E25*F25</f>
        <v>0</v>
      </c>
    </row>
    <row r="26" spans="1:8" ht="24" customHeight="1">
      <c r="A26" s="300">
        <f>A25+1</f>
        <v>10</v>
      </c>
      <c r="B26" s="669"/>
      <c r="C26" s="669"/>
      <c r="D26" s="669"/>
      <c r="E26" s="304"/>
      <c r="F26" s="305"/>
      <c r="G26" s="303">
        <f>E26*F26</f>
        <v>0</v>
      </c>
    </row>
    <row r="27" spans="1:8" ht="24" customHeight="1" thickBot="1">
      <c r="A27" s="306">
        <f>A26+1</f>
        <v>11</v>
      </c>
      <c r="B27" s="667"/>
      <c r="C27" s="667"/>
      <c r="D27" s="667"/>
      <c r="E27" s="307"/>
      <c r="F27" s="308"/>
      <c r="G27" s="309">
        <f>E27*F27</f>
        <v>0</v>
      </c>
    </row>
    <row r="28" spans="1:8" ht="24" customHeight="1" thickBot="1">
      <c r="A28" s="666" t="s">
        <v>230</v>
      </c>
      <c r="B28" s="666"/>
      <c r="C28" s="666"/>
      <c r="D28" s="668" t="s">
        <v>222</v>
      </c>
      <c r="E28" s="668"/>
      <c r="F28" s="668"/>
      <c r="G28" s="317">
        <f>SUM(G17:G27)</f>
        <v>0</v>
      </c>
    </row>
    <row r="29" spans="1:8" ht="16.5" thickTop="1"/>
    <row r="30" spans="1:8">
      <c r="A30" s="40"/>
      <c r="B30" s="40"/>
      <c r="C30" s="661"/>
      <c r="D30" s="661"/>
      <c r="E30" s="661"/>
      <c r="F30" s="661"/>
      <c r="G30" s="42"/>
      <c r="H30" s="42"/>
    </row>
    <row r="31" spans="1:8" ht="114" customHeight="1">
      <c r="A31" s="662" t="s">
        <v>223</v>
      </c>
      <c r="B31" s="662"/>
      <c r="C31" s="662"/>
      <c r="D31" s="662"/>
      <c r="E31" s="662"/>
      <c r="F31" s="662"/>
      <c r="G31" s="41"/>
      <c r="H31" s="41"/>
    </row>
    <row r="32" spans="1:8">
      <c r="G32" s="41"/>
      <c r="H32" s="41"/>
    </row>
    <row r="33" spans="7:8">
      <c r="G33" s="41"/>
      <c r="H33" s="41"/>
    </row>
    <row r="34" spans="7:8">
      <c r="G34" s="41"/>
      <c r="H34" s="41"/>
    </row>
    <row r="35" spans="7:8">
      <c r="G35" s="41"/>
      <c r="H35" s="41"/>
    </row>
    <row r="36" spans="7:8">
      <c r="G36" s="41"/>
      <c r="H36" s="41"/>
    </row>
  </sheetData>
  <sheetProtection password="E8E9" sheet="1" objects="1" scenarios="1" selectLockedCells="1"/>
  <mergeCells count="29">
    <mergeCell ref="B27:D27"/>
    <mergeCell ref="A28:C28"/>
    <mergeCell ref="D28:F28"/>
    <mergeCell ref="C30:F30"/>
    <mergeCell ref="A31:F31"/>
    <mergeCell ref="B26:D26"/>
    <mergeCell ref="D13:F13"/>
    <mergeCell ref="B16:D16"/>
    <mergeCell ref="B17:D17"/>
    <mergeCell ref="B18:D18"/>
    <mergeCell ref="B19:D19"/>
    <mergeCell ref="B20:D20"/>
    <mergeCell ref="B21:D21"/>
    <mergeCell ref="B22:D22"/>
    <mergeCell ref="B23:D23"/>
    <mergeCell ref="B24:D24"/>
    <mergeCell ref="B25:D25"/>
    <mergeCell ref="A8:C8"/>
    <mergeCell ref="E8:G8"/>
    <mergeCell ref="A9:C9"/>
    <mergeCell ref="E9:G9"/>
    <mergeCell ref="A10:C10"/>
    <mergeCell ref="E10:G10"/>
    <mergeCell ref="A1:G1"/>
    <mergeCell ref="A2:G2"/>
    <mergeCell ref="A6:C6"/>
    <mergeCell ref="E6:G6"/>
    <mergeCell ref="A7:C7"/>
    <mergeCell ref="E7:G7"/>
  </mergeCells>
  <conditionalFormatting sqref="G13">
    <cfRule type="expression" dxfId="14" priority="5">
      <formula>ISBLANK($G$13)</formula>
    </cfRule>
  </conditionalFormatting>
  <conditionalFormatting sqref="A25:A27">
    <cfRule type="expression" dxfId="13" priority="4">
      <formula>ISBLANK($B25)</formula>
    </cfRule>
  </conditionalFormatting>
  <conditionalFormatting sqref="G25:G27">
    <cfRule type="expression" dxfId="12" priority="3">
      <formula>AND(ISBLANK($B25),$G25=0)</formula>
    </cfRule>
  </conditionalFormatting>
  <conditionalFormatting sqref="A18:A24">
    <cfRule type="expression" dxfId="11" priority="2">
      <formula>ISBLANK($B18)</formula>
    </cfRule>
  </conditionalFormatting>
  <conditionalFormatting sqref="G18:G24">
    <cfRule type="expression" dxfId="10" priority="1">
      <formula>AND(ISBLANK($B18),$G18=0)</formula>
    </cfRule>
  </conditionalFormatting>
  <printOptions horizontalCentered="1"/>
  <pageMargins left="0.79000000000000015" right="0.59" top="0.39000000000000007" bottom="0.75000000000000011" header="0.2" footer="0.30000000000000004"/>
  <pageSetup paperSize="9" scale="94" orientation="portrait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Tabelle14">
    <tabColor theme="2" tint="-0.249977111117893"/>
  </sheetPr>
  <dimension ref="A1:BH32"/>
  <sheetViews>
    <sheetView showRowColHeaders="0" workbookViewId="0">
      <selection activeCell="AS5" sqref="AS5"/>
    </sheetView>
  </sheetViews>
  <sheetFormatPr baseColWidth="10" defaultRowHeight="15.75"/>
  <cols>
    <col min="1" max="1" width="27.5" customWidth="1"/>
    <col min="2" max="2" width="9.875" bestFit="1" customWidth="1"/>
    <col min="3" max="3" width="18.375" bestFit="1" customWidth="1"/>
    <col min="4" max="4" width="16" bestFit="1" customWidth="1"/>
    <col min="5" max="6" width="14.875" bestFit="1" customWidth="1"/>
    <col min="7" max="7" width="10" customWidth="1"/>
    <col min="8" max="8" width="5" customWidth="1"/>
    <col min="9" max="9" width="11.625" customWidth="1"/>
    <col min="10" max="10" width="5" customWidth="1"/>
    <col min="11" max="11" width="15.125" customWidth="1"/>
    <col min="12" max="12" width="5" customWidth="1"/>
    <col min="13" max="13" width="14" customWidth="1"/>
    <col min="14" max="14" width="5" customWidth="1"/>
    <col min="15" max="15" width="17" customWidth="1"/>
    <col min="16" max="16" width="5" customWidth="1"/>
    <col min="17" max="17" width="16.625" customWidth="1"/>
    <col min="18" max="18" width="5" customWidth="1"/>
    <col min="19" max="19" width="18.5" customWidth="1"/>
    <col min="20" max="20" width="5" customWidth="1"/>
    <col min="21" max="21" width="18.5" customWidth="1"/>
    <col min="22" max="22" width="5" customWidth="1"/>
    <col min="23" max="23" width="15.625" customWidth="1"/>
    <col min="25" max="25" width="5" customWidth="1"/>
    <col min="26" max="26" width="12.125" bestFit="1" customWidth="1"/>
    <col min="27" max="27" width="11.125" bestFit="1" customWidth="1"/>
    <col min="28" max="28" width="7" bestFit="1" customWidth="1"/>
    <col min="29" max="29" width="7.875" bestFit="1" customWidth="1"/>
    <col min="30" max="30" width="5" customWidth="1"/>
    <col min="31" max="31" width="9" customWidth="1"/>
    <col min="32" max="32" width="7.875" bestFit="1" customWidth="1"/>
    <col min="33" max="33" width="5" customWidth="1"/>
    <col min="34" max="34" width="8" bestFit="1" customWidth="1"/>
    <col min="35" max="35" width="11" customWidth="1"/>
    <col min="36" max="36" width="5" customWidth="1"/>
    <col min="37" max="39" width="11" customWidth="1"/>
    <col min="40" max="40" width="5" customWidth="1"/>
    <col min="41" max="41" width="16.125" bestFit="1" customWidth="1"/>
    <col min="44" max="44" width="7" bestFit="1" customWidth="1"/>
    <col min="46" max="46" width="5" customWidth="1"/>
    <col min="47" max="47" width="14.875" bestFit="1" customWidth="1"/>
    <col min="49" max="49" width="86.875" customWidth="1"/>
    <col min="56" max="56" width="19.625" bestFit="1" customWidth="1"/>
  </cols>
  <sheetData>
    <row r="1" spans="1:60">
      <c r="A1" s="675" t="s">
        <v>55</v>
      </c>
      <c r="B1" s="675"/>
      <c r="C1" s="675"/>
      <c r="D1" s="675"/>
      <c r="E1" s="675"/>
      <c r="F1" s="675"/>
      <c r="G1" s="675"/>
      <c r="H1" s="18"/>
      <c r="I1" s="18"/>
      <c r="W1" s="675" t="s">
        <v>53</v>
      </c>
      <c r="X1" s="675"/>
      <c r="Z1" s="675" t="s">
        <v>54</v>
      </c>
      <c r="AA1" s="675"/>
      <c r="AB1" s="675"/>
      <c r="AC1" s="675"/>
      <c r="AE1" s="675" t="s">
        <v>46</v>
      </c>
      <c r="AF1" s="675"/>
      <c r="AH1" s="675" t="s">
        <v>52</v>
      </c>
      <c r="AI1" s="675"/>
      <c r="AJ1" s="16"/>
      <c r="AK1" s="675" t="s">
        <v>82</v>
      </c>
      <c r="AL1" s="675"/>
      <c r="AM1" s="675"/>
      <c r="AO1" s="675" t="s">
        <v>57</v>
      </c>
      <c r="AP1" s="675"/>
      <c r="AQ1" s="675"/>
      <c r="AR1" s="675"/>
      <c r="AS1" s="675"/>
      <c r="AW1" s="2" t="s">
        <v>149</v>
      </c>
      <c r="AX1" s="679" t="s">
        <v>214</v>
      </c>
      <c r="AY1" s="679"/>
      <c r="AZ1" s="679"/>
      <c r="BA1" s="679"/>
      <c r="BC1" t="s">
        <v>260</v>
      </c>
    </row>
    <row r="2" spans="1:60" ht="26.25">
      <c r="A2" s="2" t="s">
        <v>37</v>
      </c>
      <c r="B2" s="2" t="s">
        <v>114</v>
      </c>
      <c r="C2" s="2" t="s">
        <v>7</v>
      </c>
      <c r="D2" s="2" t="s">
        <v>8</v>
      </c>
      <c r="E2" s="2" t="s">
        <v>9</v>
      </c>
      <c r="F2" s="2" t="s">
        <v>62</v>
      </c>
      <c r="G2" s="2" t="s">
        <v>161</v>
      </c>
      <c r="H2" s="2"/>
      <c r="I2" s="2" t="s">
        <v>114</v>
      </c>
      <c r="K2" t="s">
        <v>26</v>
      </c>
      <c r="M2" t="s">
        <v>43</v>
      </c>
      <c r="O2" t="s">
        <v>42</v>
      </c>
      <c r="Q2" t="s">
        <v>44</v>
      </c>
      <c r="S2" t="s">
        <v>45</v>
      </c>
      <c r="U2" t="s">
        <v>78</v>
      </c>
      <c r="W2" t="s">
        <v>37</v>
      </c>
      <c r="X2" t="s">
        <v>32</v>
      </c>
      <c r="Z2" t="s">
        <v>32</v>
      </c>
      <c r="AA2" t="s">
        <v>37</v>
      </c>
      <c r="AB2" t="s">
        <v>47</v>
      </c>
      <c r="AC2" t="s">
        <v>38</v>
      </c>
      <c r="AE2" t="s">
        <v>37</v>
      </c>
      <c r="AF2" t="s">
        <v>38</v>
      </c>
      <c r="AH2" t="s">
        <v>32</v>
      </c>
      <c r="AI2" t="s">
        <v>51</v>
      </c>
      <c r="AK2" t="s">
        <v>32</v>
      </c>
      <c r="AL2" t="s">
        <v>56</v>
      </c>
      <c r="AM2" t="s">
        <v>83</v>
      </c>
      <c r="AO2" t="s">
        <v>32</v>
      </c>
      <c r="AP2" t="s">
        <v>37</v>
      </c>
      <c r="AQ2" t="s">
        <v>47</v>
      </c>
      <c r="AR2" t="s">
        <v>56</v>
      </c>
      <c r="AS2" t="s">
        <v>38</v>
      </c>
      <c r="AU2" s="2" t="s">
        <v>58</v>
      </c>
      <c r="AW2" s="175" t="s">
        <v>277</v>
      </c>
      <c r="AX2" s="678" t="s">
        <v>285</v>
      </c>
      <c r="AY2" s="678"/>
      <c r="AZ2" s="678"/>
      <c r="BA2" s="678"/>
      <c r="BB2" s="30"/>
      <c r="BC2" t="s">
        <v>261</v>
      </c>
      <c r="BD2" t="s">
        <v>259</v>
      </c>
      <c r="BG2" s="30"/>
      <c r="BH2" s="30"/>
    </row>
    <row r="3" spans="1:60" ht="15.95" customHeight="1">
      <c r="A3" t="s">
        <v>117</v>
      </c>
      <c r="B3" s="19" t="s">
        <v>116</v>
      </c>
      <c r="C3" t="s">
        <v>103</v>
      </c>
      <c r="D3" t="s">
        <v>0</v>
      </c>
      <c r="E3" t="str">
        <f>tblWeightOrFunction[[#This Row],[SubType1]]</f>
        <v>Coach</v>
      </c>
      <c r="F3" t="str">
        <f>tblWeightOrFunction[[#This Row],[SubType2]]</f>
        <v>Coach</v>
      </c>
      <c r="G3">
        <v>1</v>
      </c>
      <c r="I3" t="s">
        <v>115</v>
      </c>
      <c r="K3" t="s">
        <v>27</v>
      </c>
      <c r="M3" s="3">
        <v>43249</v>
      </c>
      <c r="O3" s="3">
        <f>tblArrivalDates[[#This Row],[ArrivalDate]]+4</f>
        <v>43253</v>
      </c>
      <c r="Q3" t="s">
        <v>29</v>
      </c>
      <c r="S3" t="s">
        <v>27</v>
      </c>
      <c r="U3" t="s">
        <v>79</v>
      </c>
      <c r="W3" t="s">
        <v>33</v>
      </c>
      <c r="X3" t="s">
        <v>34</v>
      </c>
      <c r="Z3" t="str">
        <f>tblRoomPrices[[#This Row],[Category]]&amp;", "&amp;tblRoomPrices[[#This Row],[Size]]</f>
        <v>Cat A, Single</v>
      </c>
      <c r="AA3" t="str">
        <f>$X$3</f>
        <v>Cat A</v>
      </c>
      <c r="AB3" t="s">
        <v>39</v>
      </c>
      <c r="AC3" s="4">
        <v>90</v>
      </c>
      <c r="AE3" t="str">
        <f>$X$3</f>
        <v>Cat A</v>
      </c>
      <c r="AF3" s="4">
        <v>17</v>
      </c>
      <c r="AH3" t="s">
        <v>48</v>
      </c>
      <c r="AI3">
        <v>0</v>
      </c>
      <c r="AK3" t="str">
        <f>tblRoomAndLodgings[[#This Row],[Room]]&amp;" / "&amp;tblRoomAndLodgings[[#This Row],[Lodging]]</f>
        <v>Single / BB</v>
      </c>
      <c r="AL3" t="str">
        <f>$AH$3</f>
        <v>BB</v>
      </c>
      <c r="AM3" t="str">
        <f>$AB$3</f>
        <v>Single</v>
      </c>
      <c r="AO3" t="str">
        <f>tblAccommodationCosts[[#This Row],[Category]]&amp;", "&amp;tblAccommodationCosts[[#This Row],[Size]]&amp;" / "&amp;tblAccommodationCosts[[#This Row],[Lodging]]</f>
        <v>Cat A, Single / BB</v>
      </c>
      <c r="AP3" t="str">
        <f t="shared" ref="AP3:AP11" si="0">$X$3</f>
        <v>Cat A</v>
      </c>
      <c r="AQ3" t="str">
        <f>$AB$3</f>
        <v>Single</v>
      </c>
      <c r="AR3" t="str">
        <f>$AH$3</f>
        <v>BB</v>
      </c>
      <c r="AS3" s="4">
        <f>VLOOKUP(tblAccommodationCosts[[#This Row],[Category]]&amp;", "&amp;tblAccommodationCosts[[#This Row],[Size]],tblRoomPrices[],4,FALSE)+VLOOKUP(tblAccommodationCosts[[#This Row],[Category]],tblMealPrices[],2,FALSE)*VLOOKUP(tblAccommodationCosts[[#This Row],[Lodging]],tblLodgingTypes[],2,FALSE)</f>
        <v>90</v>
      </c>
      <c r="AU3" s="4">
        <v>80</v>
      </c>
      <c r="AW3" s="676" t="s">
        <v>286</v>
      </c>
      <c r="AX3" s="31"/>
      <c r="AY3" s="31"/>
      <c r="AZ3" s="31"/>
      <c r="BA3" s="31"/>
      <c r="BB3" s="31"/>
      <c r="BC3" t="str">
        <f ca="1">"A1:J"&amp;COUNTIFS('Visa Application'!B9:B68,"&lt;&gt;""")</f>
        <v>A1:J60</v>
      </c>
      <c r="BD3" t="str">
        <f ca="1">"'Check In Liste'!A1:N"&amp;COUNTIFS(tblCheckInListe[No],"&gt;0")+5</f>
        <v>'Check In Liste'!A1:N5</v>
      </c>
      <c r="BG3" s="31"/>
      <c r="BH3" s="31"/>
    </row>
    <row r="4" spans="1:60">
      <c r="A4" t="s">
        <v>124</v>
      </c>
      <c r="B4" t="s">
        <v>115</v>
      </c>
      <c r="C4" t="s">
        <v>103</v>
      </c>
      <c r="D4" t="s">
        <v>0</v>
      </c>
      <c r="E4" t="str">
        <f>tblWeightOrFunction[[#This Row],[SubType1]]</f>
        <v>Coach</v>
      </c>
      <c r="F4" t="str">
        <f>tblWeightOrFunction[[#This Row],[SubType2]]</f>
        <v>Coach</v>
      </c>
      <c r="G4">
        <v>2</v>
      </c>
      <c r="I4" t="s">
        <v>116</v>
      </c>
      <c r="K4" t="s">
        <v>28</v>
      </c>
      <c r="M4" s="3">
        <f>M3+1</f>
        <v>43250</v>
      </c>
      <c r="O4" s="3">
        <f>O3+1</f>
        <v>43254</v>
      </c>
      <c r="Q4" t="s">
        <v>30</v>
      </c>
      <c r="S4" t="s">
        <v>28</v>
      </c>
      <c r="U4" t="s">
        <v>80</v>
      </c>
      <c r="W4" t="s">
        <v>35</v>
      </c>
      <c r="X4" t="s">
        <v>36</v>
      </c>
      <c r="Z4" t="str">
        <f>tblRoomPrices[[#This Row],[Category]]&amp;", "&amp;tblRoomPrices[[#This Row],[Size]]</f>
        <v>Cat A, Double</v>
      </c>
      <c r="AA4" t="str">
        <f>AA3</f>
        <v>Cat A</v>
      </c>
      <c r="AB4" t="s">
        <v>40</v>
      </c>
      <c r="AC4" s="4">
        <v>75</v>
      </c>
      <c r="AE4" t="str">
        <f>$X$4</f>
        <v>Cat B</v>
      </c>
      <c r="AF4" s="4">
        <v>14</v>
      </c>
      <c r="AH4" t="s">
        <v>49</v>
      </c>
      <c r="AI4">
        <v>1</v>
      </c>
      <c r="AK4" t="str">
        <f>tblRoomAndLodgings[[#This Row],[Room]]&amp;" / "&amp;tblRoomAndLodgings[[#This Row],[Lodging]]</f>
        <v>Single / HB</v>
      </c>
      <c r="AL4" t="str">
        <f>$AH$4</f>
        <v>HB</v>
      </c>
      <c r="AM4" t="str">
        <f>$AB$3</f>
        <v>Single</v>
      </c>
      <c r="AO4" t="str">
        <f>tblAccommodationCosts[[#This Row],[Category]]&amp;", "&amp;tblAccommodationCosts[[#This Row],[Size]]&amp;" / "&amp;tblAccommodationCosts[[#This Row],[Lodging]]</f>
        <v>Cat A, Single / HB</v>
      </c>
      <c r="AP4" t="str">
        <f t="shared" si="0"/>
        <v>Cat A</v>
      </c>
      <c r="AQ4" t="str">
        <f t="shared" ref="AQ4:AQ5" si="1">$AB$3</f>
        <v>Single</v>
      </c>
      <c r="AR4" t="str">
        <f>$AH$4</f>
        <v>HB</v>
      </c>
      <c r="AS4" s="4">
        <f>VLOOKUP(tblAccommodationCosts[[#This Row],[Category]]&amp;", "&amp;tblAccommodationCosts[[#This Row],[Size]],tblRoomPrices[],4,FALSE)+VLOOKUP(tblAccommodationCosts[[#This Row],[Category]],tblMealPrices[],2,FALSE)*VLOOKUP(tblAccommodationCosts[[#This Row],[Lodging]],tblLodgingTypes[],2,FALSE)</f>
        <v>107</v>
      </c>
      <c r="AW4" s="677"/>
    </row>
    <row r="5" spans="1:60">
      <c r="A5" t="s">
        <v>118</v>
      </c>
      <c r="B5" s="19" t="s">
        <v>116</v>
      </c>
      <c r="C5" t="s">
        <v>103</v>
      </c>
      <c r="D5" t="s">
        <v>1</v>
      </c>
      <c r="E5" t="str">
        <f>tblWeightOrFunction[[#This Row],[SubType1]]</f>
        <v>Official</v>
      </c>
      <c r="F5" t="str">
        <f>tblWeightOrFunction[[#This Row],[SubType2]]</f>
        <v>Official</v>
      </c>
      <c r="G5">
        <v>3</v>
      </c>
      <c r="M5" s="3">
        <f t="shared" ref="M5:M10" si="2">M4+1</f>
        <v>43251</v>
      </c>
      <c r="O5" s="3">
        <f t="shared" ref="O5:O8" si="3">O4+1</f>
        <v>43255</v>
      </c>
      <c r="Q5" t="s">
        <v>31</v>
      </c>
      <c r="U5" t="s">
        <v>81</v>
      </c>
      <c r="Z5" t="str">
        <f>tblRoomPrices[[#This Row],[Category]]&amp;", "&amp;tblRoomPrices[[#This Row],[Size]]</f>
        <v>Cat A, Shared</v>
      </c>
      <c r="AA5" t="str">
        <f>AA4</f>
        <v>Cat A</v>
      </c>
      <c r="AB5" t="s">
        <v>41</v>
      </c>
      <c r="AC5" s="4">
        <v>65</v>
      </c>
      <c r="AH5" t="s">
        <v>50</v>
      </c>
      <c r="AI5">
        <v>2</v>
      </c>
      <c r="AK5" t="str">
        <f>tblRoomAndLodgings[[#This Row],[Room]]&amp;" / "&amp;tblRoomAndLodgings[[#This Row],[Lodging]]</f>
        <v>Single / FB</v>
      </c>
      <c r="AL5" t="str">
        <f>$AH$5</f>
        <v>FB</v>
      </c>
      <c r="AM5" t="str">
        <f>$AB$3</f>
        <v>Single</v>
      </c>
      <c r="AO5" t="str">
        <f>tblAccommodationCosts[[#This Row],[Category]]&amp;", "&amp;tblAccommodationCosts[[#This Row],[Size]]&amp;" / "&amp;tblAccommodationCosts[[#This Row],[Lodging]]</f>
        <v>Cat A, Single / FB</v>
      </c>
      <c r="AP5" t="str">
        <f t="shared" si="0"/>
        <v>Cat A</v>
      </c>
      <c r="AQ5" t="str">
        <f t="shared" si="1"/>
        <v>Single</v>
      </c>
      <c r="AR5" t="str">
        <f>$AH$5</f>
        <v>FB</v>
      </c>
      <c r="AS5" s="4">
        <f>VLOOKUP(tblAccommodationCosts[[#This Row],[Category]]&amp;", "&amp;tblAccommodationCosts[[#This Row],[Size]],tblRoomPrices[],4,FALSE)+VLOOKUP(tblAccommodationCosts[[#This Row],[Category]],tblMealPrices[],2,FALSE)*VLOOKUP(tblAccommodationCosts[[#This Row],[Lodging]],tblLodgingTypes[],2,FALSE)</f>
        <v>124</v>
      </c>
      <c r="AU5" s="2" t="s">
        <v>300</v>
      </c>
    </row>
    <row r="6" spans="1:60">
      <c r="A6" t="s">
        <v>125</v>
      </c>
      <c r="B6" t="s">
        <v>115</v>
      </c>
      <c r="C6" t="s">
        <v>103</v>
      </c>
      <c r="D6" t="s">
        <v>1</v>
      </c>
      <c r="E6" t="str">
        <f>tblWeightOrFunction[[#This Row],[SubType1]]</f>
        <v>Official</v>
      </c>
      <c r="F6" t="str">
        <f>tblWeightOrFunction[[#This Row],[SubType2]]</f>
        <v>Official</v>
      </c>
      <c r="G6">
        <v>4</v>
      </c>
      <c r="M6" s="3">
        <f t="shared" si="2"/>
        <v>43252</v>
      </c>
      <c r="O6" s="3">
        <f t="shared" si="3"/>
        <v>43256</v>
      </c>
      <c r="Q6" t="s">
        <v>182</v>
      </c>
      <c r="Z6" t="str">
        <f>tblRoomPrices[[#This Row],[Category]]&amp;", "&amp;tblRoomPrices[[#This Row],[Size]]</f>
        <v>Cat B, Single</v>
      </c>
      <c r="AA6" t="str">
        <f>$X$4</f>
        <v>Cat B</v>
      </c>
      <c r="AB6" t="str">
        <f>AB3</f>
        <v>Single</v>
      </c>
      <c r="AC6" s="4">
        <v>75</v>
      </c>
      <c r="AK6" t="str">
        <f>tblRoomAndLodgings[[#This Row],[Room]]&amp;" / "&amp;tblRoomAndLodgings[[#This Row],[Lodging]]</f>
        <v>Double / BB</v>
      </c>
      <c r="AL6" t="str">
        <f>$AH$3</f>
        <v>BB</v>
      </c>
      <c r="AM6" t="str">
        <f>$AB$4</f>
        <v>Double</v>
      </c>
      <c r="AO6" t="str">
        <f>tblAccommodationCosts[[#This Row],[Category]]&amp;", "&amp;tblAccommodationCosts[[#This Row],[Size]]&amp;" / "&amp;tblAccommodationCosts[[#This Row],[Lodging]]</f>
        <v>Cat A, Double / BB</v>
      </c>
      <c r="AP6" t="str">
        <f t="shared" si="0"/>
        <v>Cat A</v>
      </c>
      <c r="AQ6" t="str">
        <f>$AB$4</f>
        <v>Double</v>
      </c>
      <c r="AR6" t="str">
        <f>$AH$3</f>
        <v>BB</v>
      </c>
      <c r="AS6" s="4">
        <f>VLOOKUP(tblAccommodationCosts[[#This Row],[Category]]&amp;", "&amp;tblAccommodationCosts[[#This Row],[Size]],tblRoomPrices[],4,FALSE)+VLOOKUP(tblAccommodationCosts[[#This Row],[Category]],tblMealPrices[],2,FALSE)*VLOOKUP(tblAccommodationCosts[[#This Row],[Lodging]],tblLodgingTypes[],2,FALSE)</f>
        <v>75</v>
      </c>
      <c r="AU6" s="4">
        <v>10</v>
      </c>
    </row>
    <row r="7" spans="1:60">
      <c r="A7" t="s">
        <v>119</v>
      </c>
      <c r="B7" s="19" t="s">
        <v>116</v>
      </c>
      <c r="C7" t="s">
        <v>2</v>
      </c>
      <c r="D7" t="s">
        <v>162</v>
      </c>
      <c r="E7" t="str">
        <f t="shared" ref="E7:E12" si="4">C7</f>
        <v>Referee</v>
      </c>
      <c r="F7" t="str">
        <f>tblWeightOrFunction[[#This Row],[SubType2]]</f>
        <v>Referee</v>
      </c>
      <c r="G7">
        <v>5</v>
      </c>
      <c r="M7" s="3">
        <f t="shared" si="2"/>
        <v>43253</v>
      </c>
      <c r="O7" s="3">
        <f t="shared" si="3"/>
        <v>43257</v>
      </c>
      <c r="Z7" t="str">
        <f>tblRoomPrices[[#This Row],[Category]]&amp;", "&amp;tblRoomPrices[[#This Row],[Size]]</f>
        <v>Cat B, Double</v>
      </c>
      <c r="AA7" t="str">
        <f>AA6</f>
        <v>Cat B</v>
      </c>
      <c r="AB7" t="str">
        <f>AB4</f>
        <v>Double</v>
      </c>
      <c r="AC7" s="4">
        <v>60</v>
      </c>
      <c r="AK7" t="str">
        <f>tblRoomAndLodgings[[#This Row],[Room]]&amp;" / "&amp;tblRoomAndLodgings[[#This Row],[Lodging]]</f>
        <v>Double / HB</v>
      </c>
      <c r="AL7" t="str">
        <f>$AH$4</f>
        <v>HB</v>
      </c>
      <c r="AM7" t="str">
        <f t="shared" ref="AM7:AM8" si="5">$AB$4</f>
        <v>Double</v>
      </c>
      <c r="AO7" t="str">
        <f>tblAccommodationCosts[[#This Row],[Category]]&amp;", "&amp;tblAccommodationCosts[[#This Row],[Size]]&amp;" / "&amp;tblAccommodationCosts[[#This Row],[Lodging]]</f>
        <v>Cat A, Double / HB</v>
      </c>
      <c r="AP7" t="str">
        <f t="shared" si="0"/>
        <v>Cat A</v>
      </c>
      <c r="AQ7" t="str">
        <f t="shared" ref="AQ7:AQ8" si="6">$AB$4</f>
        <v>Double</v>
      </c>
      <c r="AR7" t="str">
        <f>$AH$4</f>
        <v>HB</v>
      </c>
      <c r="AS7" s="4">
        <f>VLOOKUP(tblAccommodationCosts[[#This Row],[Category]]&amp;", "&amp;tblAccommodationCosts[[#This Row],[Size]],tblRoomPrices[],4,FALSE)+VLOOKUP(tblAccommodationCosts[[#This Row],[Category]],tblMealPrices[],2,FALSE)*VLOOKUP(tblAccommodationCosts[[#This Row],[Lodging]],tblLodgingTypes[],2,FALSE)</f>
        <v>92</v>
      </c>
    </row>
    <row r="8" spans="1:60">
      <c r="A8" t="s">
        <v>126</v>
      </c>
      <c r="B8" t="s">
        <v>115</v>
      </c>
      <c r="C8" t="s">
        <v>2</v>
      </c>
      <c r="D8" t="s">
        <v>162</v>
      </c>
      <c r="E8" t="str">
        <f t="shared" si="4"/>
        <v>Referee</v>
      </c>
      <c r="F8" t="str">
        <f>tblWeightOrFunction[[#This Row],[SubType2]]</f>
        <v>Referee</v>
      </c>
      <c r="G8">
        <v>6</v>
      </c>
      <c r="M8" s="3">
        <f t="shared" si="2"/>
        <v>43254</v>
      </c>
      <c r="O8" s="3">
        <f t="shared" si="3"/>
        <v>43258</v>
      </c>
      <c r="Z8" t="str">
        <f>tblRoomPrices[[#This Row],[Category]]&amp;", "&amp;tblRoomPrices[[#This Row],[Size]]</f>
        <v>Cat B, Shared</v>
      </c>
      <c r="AA8" t="str">
        <f>AA7</f>
        <v>Cat B</v>
      </c>
      <c r="AB8" t="str">
        <f>AB5</f>
        <v>Shared</v>
      </c>
      <c r="AC8" s="4">
        <v>55</v>
      </c>
      <c r="AK8" t="str">
        <f>tblRoomAndLodgings[[#This Row],[Room]]&amp;" / "&amp;tblRoomAndLodgings[[#This Row],[Lodging]]</f>
        <v>Double / FB</v>
      </c>
      <c r="AL8" t="str">
        <f>$AH$5</f>
        <v>FB</v>
      </c>
      <c r="AM8" t="str">
        <f t="shared" si="5"/>
        <v>Double</v>
      </c>
      <c r="AO8" t="str">
        <f>tblAccommodationCosts[[#This Row],[Category]]&amp;", "&amp;tblAccommodationCosts[[#This Row],[Size]]&amp;" / "&amp;tblAccommodationCosts[[#This Row],[Lodging]]</f>
        <v>Cat A, Double / FB</v>
      </c>
      <c r="AP8" t="str">
        <f t="shared" si="0"/>
        <v>Cat A</v>
      </c>
      <c r="AQ8" t="str">
        <f t="shared" si="6"/>
        <v>Double</v>
      </c>
      <c r="AR8" t="str">
        <f>$AH$5</f>
        <v>FB</v>
      </c>
      <c r="AS8" s="4">
        <f>VLOOKUP(tblAccommodationCosts[[#This Row],[Category]]&amp;", "&amp;tblAccommodationCosts[[#This Row],[Size]],tblRoomPrices[],4,FALSE)+VLOOKUP(tblAccommodationCosts[[#This Row],[Category]],tblMealPrices[],2,FALSE)*VLOOKUP(tblAccommodationCosts[[#This Row],[Lodging]],tblLodgingTypes[],2,FALSE)</f>
        <v>109</v>
      </c>
    </row>
    <row r="9" spans="1:60">
      <c r="A9" t="s">
        <v>120</v>
      </c>
      <c r="B9" s="19" t="s">
        <v>116</v>
      </c>
      <c r="C9" t="s">
        <v>2</v>
      </c>
      <c r="D9" t="s">
        <v>163</v>
      </c>
      <c r="E9" t="str">
        <f t="shared" si="4"/>
        <v>Referee</v>
      </c>
      <c r="F9" t="str">
        <f>tblWeightOrFunction[[#This Row],[SubType2]]</f>
        <v>Referee</v>
      </c>
      <c r="G9">
        <v>7</v>
      </c>
      <c r="M9" s="3">
        <f t="shared" si="2"/>
        <v>43255</v>
      </c>
      <c r="AK9" t="str">
        <f>tblRoomAndLodgings[[#This Row],[Room]]&amp;" / "&amp;tblRoomAndLodgings[[#This Row],[Lodging]]</f>
        <v>Shared / BB</v>
      </c>
      <c r="AL9" t="str">
        <f>$AH$3</f>
        <v>BB</v>
      </c>
      <c r="AM9" t="str">
        <f>$AB$5</f>
        <v>Shared</v>
      </c>
      <c r="AO9" t="str">
        <f>tblAccommodationCosts[[#This Row],[Category]]&amp;", "&amp;tblAccommodationCosts[[#This Row],[Size]]&amp;" / "&amp;tblAccommodationCosts[[#This Row],[Lodging]]</f>
        <v>Cat A, Shared / BB</v>
      </c>
      <c r="AP9" t="str">
        <f t="shared" si="0"/>
        <v>Cat A</v>
      </c>
      <c r="AQ9" t="str">
        <f>$AB$5</f>
        <v>Shared</v>
      </c>
      <c r="AR9" t="str">
        <f>$AH$3</f>
        <v>BB</v>
      </c>
      <c r="AS9" s="4">
        <f>VLOOKUP(tblAccommodationCosts[[#This Row],[Category]]&amp;", "&amp;tblAccommodationCosts[[#This Row],[Size]],tblRoomPrices[],4,FALSE)+VLOOKUP(tblAccommodationCosts[[#This Row],[Category]],tblMealPrices[],2,FALSE)*VLOOKUP(tblAccommodationCosts[[#This Row],[Lodging]],tblLodgingTypes[],2,FALSE)</f>
        <v>65</v>
      </c>
    </row>
    <row r="10" spans="1:60">
      <c r="A10" t="s">
        <v>127</v>
      </c>
      <c r="B10" t="s">
        <v>115</v>
      </c>
      <c r="C10" t="s">
        <v>2</v>
      </c>
      <c r="D10" t="s">
        <v>163</v>
      </c>
      <c r="E10" t="str">
        <f t="shared" si="4"/>
        <v>Referee</v>
      </c>
      <c r="F10" t="str">
        <f>tblWeightOrFunction[[#This Row],[SubType2]]</f>
        <v>Referee</v>
      </c>
      <c r="G10">
        <v>8</v>
      </c>
      <c r="M10" s="3">
        <f t="shared" si="2"/>
        <v>43256</v>
      </c>
      <c r="AK10" t="str">
        <f>tblRoomAndLodgings[[#This Row],[Room]]&amp;" / "&amp;tblRoomAndLodgings[[#This Row],[Lodging]]</f>
        <v>Shared / HB</v>
      </c>
      <c r="AL10" t="str">
        <f>$AH$4</f>
        <v>HB</v>
      </c>
      <c r="AM10" t="str">
        <f>$AB$5</f>
        <v>Shared</v>
      </c>
      <c r="AO10" t="str">
        <f>tblAccommodationCosts[[#This Row],[Category]]&amp;", "&amp;tblAccommodationCosts[[#This Row],[Size]]&amp;" / "&amp;tblAccommodationCosts[[#This Row],[Lodging]]</f>
        <v>Cat A, Shared / HB</v>
      </c>
      <c r="AP10" t="str">
        <f t="shared" si="0"/>
        <v>Cat A</v>
      </c>
      <c r="AQ10" t="str">
        <f t="shared" ref="AQ10:AQ11" si="7">$AB$5</f>
        <v>Shared</v>
      </c>
      <c r="AR10" t="str">
        <f>$AH$4</f>
        <v>HB</v>
      </c>
      <c r="AS10" s="4">
        <f>VLOOKUP(tblAccommodationCosts[[#This Row],[Category]]&amp;", "&amp;tblAccommodationCosts[[#This Row],[Size]],tblRoomPrices[],4,FALSE)+VLOOKUP(tblAccommodationCosts[[#This Row],[Category]],tblMealPrices[],2,FALSE)*VLOOKUP(tblAccommodationCosts[[#This Row],[Lodging]],tblLodgingTypes[],2,FALSE)</f>
        <v>82</v>
      </c>
    </row>
    <row r="11" spans="1:60">
      <c r="A11" t="s">
        <v>121</v>
      </c>
      <c r="B11" s="19" t="s">
        <v>116</v>
      </c>
      <c r="C11" t="s">
        <v>2</v>
      </c>
      <c r="D11" t="s">
        <v>164</v>
      </c>
      <c r="E11" t="str">
        <f t="shared" si="4"/>
        <v>Referee</v>
      </c>
      <c r="F11" t="str">
        <f>tblWeightOrFunction[[#This Row],[SubType2]]</f>
        <v>Referee</v>
      </c>
      <c r="G11">
        <v>9</v>
      </c>
      <c r="AK11" t="str">
        <f>tblRoomAndLodgings[[#This Row],[Room]]&amp;" / "&amp;tblRoomAndLodgings[[#This Row],[Lodging]]</f>
        <v>Shared / FB</v>
      </c>
      <c r="AL11" t="str">
        <f>$AH$5</f>
        <v>FB</v>
      </c>
      <c r="AM11" t="str">
        <f>$AB$5</f>
        <v>Shared</v>
      </c>
      <c r="AO11" t="str">
        <f>tblAccommodationCosts[[#This Row],[Category]]&amp;", "&amp;tblAccommodationCosts[[#This Row],[Size]]&amp;" / "&amp;tblAccommodationCosts[[#This Row],[Lodging]]</f>
        <v>Cat A, Shared / FB</v>
      </c>
      <c r="AP11" t="str">
        <f t="shared" si="0"/>
        <v>Cat A</v>
      </c>
      <c r="AQ11" t="str">
        <f t="shared" si="7"/>
        <v>Shared</v>
      </c>
      <c r="AR11" t="str">
        <f>$AH$5</f>
        <v>FB</v>
      </c>
      <c r="AS11" s="4">
        <f>VLOOKUP(tblAccommodationCosts[[#This Row],[Category]]&amp;", "&amp;tblAccommodationCosts[[#This Row],[Size]],tblRoomPrices[],4,FALSE)+VLOOKUP(tblAccommodationCosts[[#This Row],[Category]],tblMealPrices[],2,FALSE)*VLOOKUP(tblAccommodationCosts[[#This Row],[Lodging]],tblLodgingTypes[],2,FALSE)</f>
        <v>99</v>
      </c>
    </row>
    <row r="12" spans="1:60" ht="16.5" thickBot="1">
      <c r="A12" t="s">
        <v>128</v>
      </c>
      <c r="B12" t="s">
        <v>115</v>
      </c>
      <c r="C12" t="s">
        <v>2</v>
      </c>
      <c r="D12" t="s">
        <v>164</v>
      </c>
      <c r="E12" t="str">
        <f t="shared" si="4"/>
        <v>Referee</v>
      </c>
      <c r="F12" t="str">
        <f>tblWeightOrFunction[[#This Row],[SubType2]]</f>
        <v>Referee</v>
      </c>
      <c r="G12">
        <v>10</v>
      </c>
      <c r="M12" s="421" t="s">
        <v>287</v>
      </c>
      <c r="AO12" t="str">
        <f>tblAccommodationCosts[[#This Row],[Category]]&amp;", "&amp;tblAccommodationCosts[[#This Row],[Size]]&amp;" / "&amp;tblAccommodationCosts[[#This Row],[Lodging]]</f>
        <v>Cat B, Single / BB</v>
      </c>
      <c r="AP12" t="str">
        <f t="shared" ref="AP12:AP20" si="8">$X$4</f>
        <v>Cat B</v>
      </c>
      <c r="AQ12" t="str">
        <f>$AB$3</f>
        <v>Single</v>
      </c>
      <c r="AR12" t="str">
        <f>$AH$3</f>
        <v>BB</v>
      </c>
      <c r="AS12" s="4">
        <f>VLOOKUP(tblAccommodationCosts[[#This Row],[Category]]&amp;", "&amp;tblAccommodationCosts[[#This Row],[Size]],tblRoomPrices[],4,FALSE)+VLOOKUP(tblAccommodationCosts[[#This Row],[Category]],tblMealPrices[],2,FALSE)*VLOOKUP(tblAccommodationCosts[[#This Row],[Lodging]],tblLodgingTypes[],2,FALSE)</f>
        <v>75</v>
      </c>
    </row>
    <row r="13" spans="1:60" ht="16.5" thickTop="1">
      <c r="A13" t="s">
        <v>122</v>
      </c>
      <c r="B13" s="19" t="s">
        <v>116</v>
      </c>
      <c r="C13" t="s">
        <v>103</v>
      </c>
      <c r="D13" t="s">
        <v>3</v>
      </c>
      <c r="E13" t="str">
        <f>tblWeightOrFunction[[#This Row],[SubType1]]</f>
        <v>Medical</v>
      </c>
      <c r="F13" t="str">
        <f>tblWeightOrFunction[[#This Row],[SubType2]]</f>
        <v>Medical</v>
      </c>
      <c r="G13">
        <v>11</v>
      </c>
      <c r="M13" s="422">
        <f>M3</f>
        <v>43249</v>
      </c>
      <c r="AO13" t="str">
        <f>tblAccommodationCosts[[#This Row],[Category]]&amp;", "&amp;tblAccommodationCosts[[#This Row],[Size]]&amp;" / "&amp;tblAccommodationCosts[[#This Row],[Lodging]]</f>
        <v>Cat B, Single / HB</v>
      </c>
      <c r="AP13" t="str">
        <f t="shared" si="8"/>
        <v>Cat B</v>
      </c>
      <c r="AQ13" t="str">
        <f t="shared" ref="AQ13:AQ14" si="9">$AB$3</f>
        <v>Single</v>
      </c>
      <c r="AR13" t="str">
        <f>$AH$4</f>
        <v>HB</v>
      </c>
      <c r="AS13" s="4">
        <f>VLOOKUP(tblAccommodationCosts[[#This Row],[Category]]&amp;", "&amp;tblAccommodationCosts[[#This Row],[Size]],tblRoomPrices[],4,FALSE)+VLOOKUP(tblAccommodationCosts[[#This Row],[Category]],tblMealPrices[],2,FALSE)*VLOOKUP(tblAccommodationCosts[[#This Row],[Lodging]],tblLodgingTypes[],2,FALSE)</f>
        <v>89</v>
      </c>
    </row>
    <row r="14" spans="1:60">
      <c r="A14" t="s">
        <v>129</v>
      </c>
      <c r="B14" t="s">
        <v>115</v>
      </c>
      <c r="C14" t="s">
        <v>103</v>
      </c>
      <c r="D14" t="s">
        <v>3</v>
      </c>
      <c r="E14" t="str">
        <f>tblWeightOrFunction[[#This Row],[SubType1]]</f>
        <v>Medical</v>
      </c>
      <c r="F14" t="str">
        <f>tblWeightOrFunction[[#This Row],[SubType2]]</f>
        <v>Medical</v>
      </c>
      <c r="G14">
        <v>12</v>
      </c>
      <c r="AK14" s="416" t="str">
        <f>AK3</f>
        <v>Single / BB</v>
      </c>
      <c r="AO14" t="str">
        <f>tblAccommodationCosts[[#This Row],[Category]]&amp;", "&amp;tblAccommodationCosts[[#This Row],[Size]]&amp;" / "&amp;tblAccommodationCosts[[#This Row],[Lodging]]</f>
        <v>Cat B, Single / FB</v>
      </c>
      <c r="AP14" t="str">
        <f t="shared" si="8"/>
        <v>Cat B</v>
      </c>
      <c r="AQ14" t="str">
        <f t="shared" si="9"/>
        <v>Single</v>
      </c>
      <c r="AR14" t="str">
        <f>$AH$5</f>
        <v>FB</v>
      </c>
      <c r="AS14" s="4">
        <f>VLOOKUP(tblAccommodationCosts[[#This Row],[Category]]&amp;", "&amp;tblAccommodationCosts[[#This Row],[Size]],tblRoomPrices[],4,FALSE)+VLOOKUP(tblAccommodationCosts[[#This Row],[Category]],tblMealPrices[],2,FALSE)*VLOOKUP(tblAccommodationCosts[[#This Row],[Lodging]],tblLodgingTypes[],2,FALSE)</f>
        <v>103</v>
      </c>
    </row>
    <row r="15" spans="1:60">
      <c r="A15" t="s">
        <v>123</v>
      </c>
      <c r="B15" s="19" t="s">
        <v>116</v>
      </c>
      <c r="C15" t="s">
        <v>103</v>
      </c>
      <c r="D15" t="s">
        <v>4</v>
      </c>
      <c r="E15" t="str">
        <f>tblWeightOrFunction[[#This Row],[SubType1]]</f>
        <v>Press</v>
      </c>
      <c r="F15" t="str">
        <f>tblWeightOrFunction[[#This Row],[SubType2]]</f>
        <v>Press</v>
      </c>
      <c r="G15">
        <v>13</v>
      </c>
      <c r="AK15" s="416" t="str">
        <f>AK4</f>
        <v>Single / HB</v>
      </c>
      <c r="AO15" t="str">
        <f>tblAccommodationCosts[[#This Row],[Category]]&amp;", "&amp;tblAccommodationCosts[[#This Row],[Size]]&amp;" / "&amp;tblAccommodationCosts[[#This Row],[Lodging]]</f>
        <v>Cat B, Double / BB</v>
      </c>
      <c r="AP15" t="str">
        <f t="shared" si="8"/>
        <v>Cat B</v>
      </c>
      <c r="AQ15" t="str">
        <f>$AB$4</f>
        <v>Double</v>
      </c>
      <c r="AR15" t="str">
        <f>$AH$3</f>
        <v>BB</v>
      </c>
      <c r="AS15" s="4">
        <f>VLOOKUP(tblAccommodationCosts[[#This Row],[Category]]&amp;", "&amp;tblAccommodationCosts[[#This Row],[Size]],tblRoomPrices[],4,FALSE)+VLOOKUP(tblAccommodationCosts[[#This Row],[Category]],tblMealPrices[],2,FALSE)*VLOOKUP(tblAccommodationCosts[[#This Row],[Lodging]],tblLodgingTypes[],2,FALSE)</f>
        <v>60</v>
      </c>
    </row>
    <row r="16" spans="1:60">
      <c r="A16" t="s">
        <v>130</v>
      </c>
      <c r="B16" t="s">
        <v>115</v>
      </c>
      <c r="C16" t="s">
        <v>103</v>
      </c>
      <c r="D16" t="s">
        <v>4</v>
      </c>
      <c r="E16" t="str">
        <f>tblWeightOrFunction[[#This Row],[SubType1]]</f>
        <v>Press</v>
      </c>
      <c r="F16" t="str">
        <f>tblWeightOrFunction[[#This Row],[SubType2]]</f>
        <v>Press</v>
      </c>
      <c r="G16">
        <v>14</v>
      </c>
      <c r="AK16" s="416" t="str">
        <f>AK6</f>
        <v>Double / BB</v>
      </c>
      <c r="AO16" t="str">
        <f>tblAccommodationCosts[[#This Row],[Category]]&amp;", "&amp;tblAccommodationCosts[[#This Row],[Size]]&amp;" / "&amp;tblAccommodationCosts[[#This Row],[Lodging]]</f>
        <v>Cat B, Double / HB</v>
      </c>
      <c r="AP16" t="str">
        <f t="shared" si="8"/>
        <v>Cat B</v>
      </c>
      <c r="AQ16" t="str">
        <f t="shared" ref="AQ16:AQ17" si="10">$AB$4</f>
        <v>Double</v>
      </c>
      <c r="AR16" t="str">
        <f>$AH$4</f>
        <v>HB</v>
      </c>
      <c r="AS16" s="4">
        <f>VLOOKUP(tblAccommodationCosts[[#This Row],[Category]]&amp;", "&amp;tblAccommodationCosts[[#This Row],[Size]],tblRoomPrices[],4,FALSE)+VLOOKUP(tblAccommodationCosts[[#This Row],[Category]],tblMealPrices[],2,FALSE)*VLOOKUP(tblAccommodationCosts[[#This Row],[Lodging]],tblLodgingTypes[],2,FALSE)</f>
        <v>74</v>
      </c>
    </row>
    <row r="17" spans="1:45">
      <c r="A17" t="str">
        <f>tblWeightOrFunction[[#This Row],[Type]]&amp;" "&amp;tblWeightOrFunction[[#This Row],[SubType1]]</f>
        <v>Men -55kg</v>
      </c>
      <c r="B17" t="s">
        <v>116</v>
      </c>
      <c r="C17" t="s">
        <v>5</v>
      </c>
      <c r="D17" s="1" t="s">
        <v>10</v>
      </c>
      <c r="E17">
        <v>55</v>
      </c>
      <c r="F17" t="s">
        <v>61</v>
      </c>
      <c r="G17">
        <v>15</v>
      </c>
      <c r="AK17" s="416" t="str">
        <f>AK7</f>
        <v>Double / HB</v>
      </c>
      <c r="AO17" t="str">
        <f>tblAccommodationCosts[[#This Row],[Category]]&amp;", "&amp;tblAccommodationCosts[[#This Row],[Size]]&amp;" / "&amp;tblAccommodationCosts[[#This Row],[Lodging]]</f>
        <v>Cat B, Double / FB</v>
      </c>
      <c r="AP17" t="str">
        <f t="shared" si="8"/>
        <v>Cat B</v>
      </c>
      <c r="AQ17" t="str">
        <f t="shared" si="10"/>
        <v>Double</v>
      </c>
      <c r="AR17" t="str">
        <f>$AH$5</f>
        <v>FB</v>
      </c>
      <c r="AS17" s="4">
        <f>VLOOKUP(tblAccommodationCosts[[#This Row],[Category]]&amp;", "&amp;tblAccommodationCosts[[#This Row],[Size]],tblRoomPrices[],4,FALSE)+VLOOKUP(tblAccommodationCosts[[#This Row],[Category]],tblMealPrices[],2,FALSE)*VLOOKUP(tblAccommodationCosts[[#This Row],[Lodging]],tblLodgingTypes[],2,FALSE)</f>
        <v>88</v>
      </c>
    </row>
    <row r="18" spans="1:45">
      <c r="A18" t="str">
        <f>tblWeightOrFunction[[#This Row],[Type]]&amp;" "&amp;tblWeightOrFunction[[#This Row],[SubType1]]</f>
        <v>Men -60kg</v>
      </c>
      <c r="B18" t="s">
        <v>116</v>
      </c>
      <c r="C18" t="s">
        <v>5</v>
      </c>
      <c r="D18" s="1" t="s">
        <v>11</v>
      </c>
      <c r="E18">
        <v>60</v>
      </c>
      <c r="F18" t="s">
        <v>61</v>
      </c>
      <c r="G18">
        <v>16</v>
      </c>
      <c r="AK18" s="416" t="str">
        <f>AK9</f>
        <v>Shared / BB</v>
      </c>
      <c r="AO18" t="str">
        <f>tblAccommodationCosts[[#This Row],[Category]]&amp;", "&amp;tblAccommodationCosts[[#This Row],[Size]]&amp;" / "&amp;tblAccommodationCosts[[#This Row],[Lodging]]</f>
        <v>Cat B, Shared / BB</v>
      </c>
      <c r="AP18" t="str">
        <f t="shared" si="8"/>
        <v>Cat B</v>
      </c>
      <c r="AQ18" t="str">
        <f>$AB$5</f>
        <v>Shared</v>
      </c>
      <c r="AR18" t="str">
        <f>$AH$3</f>
        <v>BB</v>
      </c>
      <c r="AS18" s="4">
        <f>VLOOKUP(tblAccommodationCosts[[#This Row],[Category]]&amp;", "&amp;tblAccommodationCosts[[#This Row],[Size]],tblRoomPrices[],4,FALSE)+VLOOKUP(tblAccommodationCosts[[#This Row],[Category]],tblMealPrices[],2,FALSE)*VLOOKUP(tblAccommodationCosts[[#This Row],[Lodging]],tblLodgingTypes[],2,FALSE)</f>
        <v>55</v>
      </c>
    </row>
    <row r="19" spans="1:45">
      <c r="A19" t="str">
        <f>tblWeightOrFunction[[#This Row],[Type]]&amp;" "&amp;tblWeightOrFunction[[#This Row],[SubType1]]</f>
        <v>Men -66kg</v>
      </c>
      <c r="B19" t="s">
        <v>116</v>
      </c>
      <c r="C19" t="s">
        <v>5</v>
      </c>
      <c r="D19" s="1" t="s">
        <v>12</v>
      </c>
      <c r="E19">
        <v>66</v>
      </c>
      <c r="F19" t="s">
        <v>61</v>
      </c>
      <c r="G19">
        <v>17</v>
      </c>
      <c r="AK19" s="416" t="str">
        <f>AK10</f>
        <v>Shared / HB</v>
      </c>
      <c r="AO19" t="str">
        <f>tblAccommodationCosts[[#This Row],[Category]]&amp;", "&amp;tblAccommodationCosts[[#This Row],[Size]]&amp;" / "&amp;tblAccommodationCosts[[#This Row],[Lodging]]</f>
        <v>Cat B, Shared / HB</v>
      </c>
      <c r="AP19" t="str">
        <f t="shared" si="8"/>
        <v>Cat B</v>
      </c>
      <c r="AQ19" t="str">
        <f t="shared" ref="AQ19:AQ20" si="11">$AB$5</f>
        <v>Shared</v>
      </c>
      <c r="AR19" t="str">
        <f>$AH$4</f>
        <v>HB</v>
      </c>
      <c r="AS19" s="4">
        <f>VLOOKUP(tblAccommodationCosts[[#This Row],[Category]]&amp;", "&amp;tblAccommodationCosts[[#This Row],[Size]],tblRoomPrices[],4,FALSE)+VLOOKUP(tblAccommodationCosts[[#This Row],[Category]],tblMealPrices[],2,FALSE)*VLOOKUP(tblAccommodationCosts[[#This Row],[Lodging]],tblLodgingTypes[],2,FALSE)</f>
        <v>69</v>
      </c>
    </row>
    <row r="20" spans="1:45">
      <c r="A20" t="str">
        <f>tblWeightOrFunction[[#This Row],[Type]]&amp;" "&amp;tblWeightOrFunction[[#This Row],[SubType1]]</f>
        <v>Men -73kg</v>
      </c>
      <c r="B20" t="s">
        <v>116</v>
      </c>
      <c r="C20" t="s">
        <v>5</v>
      </c>
      <c r="D20" s="1" t="s">
        <v>13</v>
      </c>
      <c r="E20">
        <v>73</v>
      </c>
      <c r="F20" t="s">
        <v>61</v>
      </c>
      <c r="G20">
        <v>18</v>
      </c>
      <c r="AO20" t="str">
        <f>tblAccommodationCosts[[#This Row],[Category]]&amp;", "&amp;tblAccommodationCosts[[#This Row],[Size]]&amp;" / "&amp;tblAccommodationCosts[[#This Row],[Lodging]]</f>
        <v>Cat B, Shared / FB</v>
      </c>
      <c r="AP20" t="str">
        <f t="shared" si="8"/>
        <v>Cat B</v>
      </c>
      <c r="AQ20" t="str">
        <f t="shared" si="11"/>
        <v>Shared</v>
      </c>
      <c r="AR20" t="str">
        <f>$AH$5</f>
        <v>FB</v>
      </c>
      <c r="AS20" s="4">
        <f>VLOOKUP(tblAccommodationCosts[[#This Row],[Category]]&amp;", "&amp;tblAccommodationCosts[[#This Row],[Size]],tblRoomPrices[],4,FALSE)+VLOOKUP(tblAccommodationCosts[[#This Row],[Category]],tblMealPrices[],2,FALSE)*VLOOKUP(tblAccommodationCosts[[#This Row],[Lodging]],tblLodgingTypes[],2,FALSE)</f>
        <v>83</v>
      </c>
    </row>
    <row r="21" spans="1:45">
      <c r="A21" t="str">
        <f>tblWeightOrFunction[[#This Row],[Type]]&amp;" "&amp;tblWeightOrFunction[[#This Row],[SubType1]]</f>
        <v>Men -81kg</v>
      </c>
      <c r="B21" t="s">
        <v>116</v>
      </c>
      <c r="C21" t="s">
        <v>5</v>
      </c>
      <c r="D21" s="1" t="s">
        <v>14</v>
      </c>
      <c r="E21">
        <v>81</v>
      </c>
      <c r="F21" t="s">
        <v>61</v>
      </c>
      <c r="G21">
        <v>19</v>
      </c>
    </row>
    <row r="22" spans="1:45">
      <c r="A22" t="str">
        <f>tblWeightOrFunction[[#This Row],[Type]]&amp;" "&amp;tblWeightOrFunction[[#This Row],[SubType1]]</f>
        <v>Men -90kg</v>
      </c>
      <c r="B22" t="s">
        <v>116</v>
      </c>
      <c r="C22" t="s">
        <v>5</v>
      </c>
      <c r="D22" s="1" t="s">
        <v>15</v>
      </c>
      <c r="E22">
        <v>90</v>
      </c>
      <c r="F22" t="s">
        <v>61</v>
      </c>
      <c r="G22">
        <v>20</v>
      </c>
    </row>
    <row r="23" spans="1:45">
      <c r="A23" t="str">
        <f>tblWeightOrFunction[[#This Row],[Type]]&amp;" "&amp;tblWeightOrFunction[[#This Row],[SubType1]]</f>
        <v>Men -100kg</v>
      </c>
      <c r="B23" t="s">
        <v>116</v>
      </c>
      <c r="C23" t="s">
        <v>5</v>
      </c>
      <c r="D23" s="1" t="s">
        <v>16</v>
      </c>
      <c r="E23">
        <v>100</v>
      </c>
      <c r="F23" t="s">
        <v>61</v>
      </c>
      <c r="G23">
        <v>21</v>
      </c>
    </row>
    <row r="24" spans="1:45">
      <c r="A24" t="str">
        <f>tblWeightOrFunction[[#This Row],[Type]]&amp;" "&amp;tblWeightOrFunction[[#This Row],[SubType1]]</f>
        <v>Men +100kg</v>
      </c>
      <c r="B24" t="s">
        <v>116</v>
      </c>
      <c r="C24" t="s">
        <v>5</v>
      </c>
      <c r="D24" s="1" t="s">
        <v>17</v>
      </c>
      <c r="E24">
        <v>999</v>
      </c>
      <c r="F24" t="s">
        <v>61</v>
      </c>
      <c r="G24">
        <v>22</v>
      </c>
    </row>
    <row r="25" spans="1:45">
      <c r="A25" t="str">
        <f>tblWeightOrFunction[[#This Row],[Type]]&amp;" "&amp;tblWeightOrFunction[[#This Row],[SubType1]]</f>
        <v>Women -44kg</v>
      </c>
      <c r="B25" t="s">
        <v>115</v>
      </c>
      <c r="C25" t="s">
        <v>6</v>
      </c>
      <c r="D25" s="1" t="s">
        <v>18</v>
      </c>
      <c r="E25">
        <v>44</v>
      </c>
      <c r="F25" t="s">
        <v>61</v>
      </c>
      <c r="G25">
        <v>23</v>
      </c>
    </row>
    <row r="26" spans="1:45">
      <c r="A26" t="str">
        <f>tblWeightOrFunction[[#This Row],[Type]]&amp;" "&amp;tblWeightOrFunction[[#This Row],[SubType1]]</f>
        <v>Women -48kg</v>
      </c>
      <c r="B26" t="s">
        <v>115</v>
      </c>
      <c r="C26" t="s">
        <v>6</v>
      </c>
      <c r="D26" s="1" t="s">
        <v>19</v>
      </c>
      <c r="E26">
        <v>48</v>
      </c>
      <c r="F26" t="s">
        <v>61</v>
      </c>
      <c r="G26">
        <v>24</v>
      </c>
    </row>
    <row r="27" spans="1:45">
      <c r="A27" t="str">
        <f>tblWeightOrFunction[[#This Row],[Type]]&amp;" "&amp;tblWeightOrFunction[[#This Row],[SubType1]]</f>
        <v>Women -52kg</v>
      </c>
      <c r="B27" t="s">
        <v>115</v>
      </c>
      <c r="C27" t="s">
        <v>6</v>
      </c>
      <c r="D27" s="1" t="s">
        <v>20</v>
      </c>
      <c r="E27">
        <v>52</v>
      </c>
      <c r="F27" t="s">
        <v>61</v>
      </c>
      <c r="G27">
        <v>25</v>
      </c>
    </row>
    <row r="28" spans="1:45">
      <c r="A28" t="str">
        <f>tblWeightOrFunction[[#This Row],[Type]]&amp;" "&amp;tblWeightOrFunction[[#This Row],[SubType1]]</f>
        <v>Women -57kg</v>
      </c>
      <c r="B28" t="s">
        <v>115</v>
      </c>
      <c r="C28" t="s">
        <v>6</v>
      </c>
      <c r="D28" s="1" t="s">
        <v>21</v>
      </c>
      <c r="E28">
        <v>57</v>
      </c>
      <c r="F28" t="s">
        <v>61</v>
      </c>
      <c r="G28">
        <v>26</v>
      </c>
    </row>
    <row r="29" spans="1:45">
      <c r="A29" t="str">
        <f>tblWeightOrFunction[[#This Row],[Type]]&amp;" "&amp;tblWeightOrFunction[[#This Row],[SubType1]]</f>
        <v>Women -63kg</v>
      </c>
      <c r="B29" t="s">
        <v>115</v>
      </c>
      <c r="C29" t="s">
        <v>6</v>
      </c>
      <c r="D29" s="1" t="s">
        <v>22</v>
      </c>
      <c r="E29">
        <v>63</v>
      </c>
      <c r="F29" t="s">
        <v>61</v>
      </c>
      <c r="G29">
        <v>27</v>
      </c>
    </row>
    <row r="30" spans="1:45">
      <c r="A30" t="str">
        <f>tblWeightOrFunction[[#This Row],[Type]]&amp;" "&amp;tblWeightOrFunction[[#This Row],[SubType1]]</f>
        <v>Women -70kg</v>
      </c>
      <c r="B30" t="s">
        <v>115</v>
      </c>
      <c r="C30" t="s">
        <v>6</v>
      </c>
      <c r="D30" s="1" t="s">
        <v>23</v>
      </c>
      <c r="E30">
        <v>70</v>
      </c>
      <c r="F30" t="s">
        <v>61</v>
      </c>
      <c r="G30">
        <v>28</v>
      </c>
    </row>
    <row r="31" spans="1:45">
      <c r="A31" t="str">
        <f>tblWeightOrFunction[[#This Row],[Type]]&amp;" "&amp;tblWeightOrFunction[[#This Row],[SubType1]]</f>
        <v>Women -78kg</v>
      </c>
      <c r="B31" t="s">
        <v>115</v>
      </c>
      <c r="C31" t="s">
        <v>6</v>
      </c>
      <c r="D31" s="1" t="s">
        <v>24</v>
      </c>
      <c r="E31">
        <v>78</v>
      </c>
      <c r="F31" t="s">
        <v>61</v>
      </c>
      <c r="G31">
        <v>29</v>
      </c>
    </row>
    <row r="32" spans="1:45">
      <c r="A32" t="str">
        <f>tblWeightOrFunction[[#This Row],[Type]]&amp;" "&amp;tblWeightOrFunction[[#This Row],[SubType1]]</f>
        <v>Women +78kg</v>
      </c>
      <c r="B32" t="s">
        <v>115</v>
      </c>
      <c r="C32" t="s">
        <v>6</v>
      </c>
      <c r="D32" s="1" t="s">
        <v>25</v>
      </c>
      <c r="E32">
        <v>999</v>
      </c>
      <c r="F32" t="s">
        <v>61</v>
      </c>
      <c r="G32">
        <v>30</v>
      </c>
    </row>
  </sheetData>
  <sheetProtection password="E8E9" sheet="1" objects="1" scenarios="1" selectLockedCells="1" selectUnlockedCells="1"/>
  <mergeCells count="10">
    <mergeCell ref="A1:G1"/>
    <mergeCell ref="AW3:AW4"/>
    <mergeCell ref="AX2:BA2"/>
    <mergeCell ref="AX1:BA1"/>
    <mergeCell ref="AO1:AS1"/>
    <mergeCell ref="AK1:AM1"/>
    <mergeCell ref="W1:X1"/>
    <mergeCell ref="Z1:AC1"/>
    <mergeCell ref="AE1:AF1"/>
    <mergeCell ref="AH1:AI1"/>
  </mergeCells>
  <pageMargins left="0.7" right="0.7" top="0.75" bottom="0.75" header="0.3" footer="0.3"/>
  <pageSetup paperSize="9" orientation="portrait" r:id="rId1"/>
  <ignoredErrors>
    <ignoredError sqref="A17:A32 F17:F32 A3:A16" calculatedColumn="1"/>
    <ignoredError sqref="AA6" formula="1"/>
  </ignoredErrors>
  <tableParts count="14">
    <tablePart r:id="rId2"/>
    <tablePart r:id="rId3"/>
    <tablePart r:id="rId4"/>
    <tablePart r:id="rId5"/>
    <tablePart r:id="rId6"/>
    <tablePart r:id="rId7"/>
    <tablePart r:id="rId8"/>
    <tablePart r:id="rId9"/>
    <tablePart r:id="rId10"/>
    <tablePart r:id="rId11"/>
    <tablePart r:id="rId12"/>
    <tablePart r:id="rId13"/>
    <tablePart r:id="rId14"/>
    <tablePart r:id="rId15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Tabelle2">
    <tabColor rgb="FF7030A0"/>
    <pageSetUpPr fitToPage="1"/>
  </sheetPr>
  <dimension ref="A1:M22"/>
  <sheetViews>
    <sheetView showGridLines="0" showRowColHeaders="0" zoomScaleNormal="100" workbookViewId="0">
      <selection activeCell="C12" sqref="C12"/>
    </sheetView>
  </sheetViews>
  <sheetFormatPr baseColWidth="10" defaultColWidth="10.875" defaultRowHeight="15.75"/>
  <cols>
    <col min="1" max="2" width="10.875" style="92"/>
    <col min="3" max="11" width="7.5" style="92" customWidth="1"/>
    <col min="12" max="12" width="8.375" style="92" customWidth="1"/>
    <col min="13" max="16384" width="10.875" style="92"/>
  </cols>
  <sheetData>
    <row r="1" spans="1:13" ht="26.25">
      <c r="A1" s="499" t="str">
        <f>Header1</f>
        <v>JUNIOR EUROPEAN JUDO CUP</v>
      </c>
      <c r="B1" s="499"/>
      <c r="C1" s="499"/>
      <c r="D1" s="499"/>
      <c r="E1" s="499"/>
      <c r="F1" s="499"/>
      <c r="G1" s="499"/>
      <c r="H1" s="499"/>
      <c r="I1" s="499"/>
      <c r="J1" s="499"/>
      <c r="K1" s="499"/>
      <c r="L1" s="499"/>
      <c r="M1" s="91"/>
    </row>
    <row r="2" spans="1:13" ht="38.1" customHeight="1">
      <c r="A2" s="500" t="str">
        <f>Header2</f>
        <v>IJF WORLD JUNIOR TOUR, June, 02 and 03, 2018 
EJU JUNIOR TRAINING CAMP, June 04 to 06, 2018 (Leibnitz - Austria)</v>
      </c>
      <c r="B2" s="500"/>
      <c r="C2" s="500"/>
      <c r="D2" s="500"/>
      <c r="E2" s="500"/>
      <c r="F2" s="500"/>
      <c r="G2" s="500"/>
      <c r="H2" s="500"/>
      <c r="I2" s="500"/>
      <c r="J2" s="500"/>
      <c r="K2" s="500"/>
      <c r="L2" s="500"/>
      <c r="M2" s="93"/>
    </row>
    <row r="4" spans="1:13" ht="21">
      <c r="A4" s="502" t="s">
        <v>147</v>
      </c>
      <c r="B4" s="502"/>
      <c r="C4" s="502"/>
      <c r="D4" s="502"/>
      <c r="E4" s="502"/>
      <c r="F4" s="502"/>
      <c r="G4" s="502"/>
      <c r="H4" s="502"/>
      <c r="I4" s="502"/>
      <c r="J4" s="502"/>
      <c r="K4" s="502"/>
      <c r="L4" s="502"/>
    </row>
    <row r="6" spans="1:13">
      <c r="A6" s="92" t="s">
        <v>145</v>
      </c>
    </row>
    <row r="7" spans="1:13">
      <c r="A7" s="92" t="s">
        <v>150</v>
      </c>
    </row>
    <row r="8" spans="1:13">
      <c r="A8" s="92" t="s">
        <v>146</v>
      </c>
    </row>
    <row r="10" spans="1:13" ht="16.5" thickBot="1">
      <c r="A10" s="503" t="s">
        <v>151</v>
      </c>
      <c r="B10" s="503"/>
      <c r="C10" s="503"/>
      <c r="D10" s="503"/>
      <c r="E10" s="503"/>
      <c r="F10" s="503"/>
      <c r="G10" s="503"/>
      <c r="H10" s="503"/>
      <c r="I10" s="503"/>
      <c r="J10" s="503"/>
      <c r="K10" s="503"/>
      <c r="L10" s="503"/>
    </row>
    <row r="11" spans="1:13" ht="24" customHeight="1" thickBot="1">
      <c r="A11" s="193" t="s">
        <v>144</v>
      </c>
      <c r="B11" s="214" t="s">
        <v>114</v>
      </c>
      <c r="C11" s="209">
        <f>StartDate</f>
        <v>43249</v>
      </c>
      <c r="D11" s="194">
        <f>C11+1</f>
        <v>43250</v>
      </c>
      <c r="E11" s="194">
        <f t="shared" ref="E11:J11" si="0">D11+1</f>
        <v>43251</v>
      </c>
      <c r="F11" s="194">
        <f t="shared" si="0"/>
        <v>43252</v>
      </c>
      <c r="G11" s="194">
        <f t="shared" si="0"/>
        <v>43253</v>
      </c>
      <c r="H11" s="194">
        <f t="shared" si="0"/>
        <v>43254</v>
      </c>
      <c r="I11" s="194">
        <f t="shared" si="0"/>
        <v>43255</v>
      </c>
      <c r="J11" s="194">
        <f t="shared" si="0"/>
        <v>43256</v>
      </c>
      <c r="K11" s="200">
        <f>J11+1</f>
        <v>43257</v>
      </c>
      <c r="L11" s="205" t="s">
        <v>138</v>
      </c>
    </row>
    <row r="12" spans="1:13" ht="24" customHeight="1">
      <c r="A12" s="191" t="s">
        <v>39</v>
      </c>
      <c r="B12" s="215" t="s">
        <v>142</v>
      </c>
      <c r="C12" s="210">
        <f ca="1">COUNTIFS(INDIRECT("tblData[Gender]"),"="&amp;$B12,tblData[Day 1],"="&amp;$A12&amp;"*",tblData[Surname],"=*")</f>
        <v>0</v>
      </c>
      <c r="D12" s="192">
        <f ca="1">COUNTIFS(INDIRECT("tblData[Gender]"),"="&amp;$B12,tblData[Day 2],"="&amp;$A12&amp;"*",tblData[Surname],"=*")</f>
        <v>0</v>
      </c>
      <c r="E12" s="192">
        <f ca="1">COUNTIFS(INDIRECT("tblData[Gender]"),"="&amp;$B12,tblData[Day 3],"="&amp;$A12&amp;"*",tblData[Surname],"=*")</f>
        <v>0</v>
      </c>
      <c r="F12" s="192">
        <f ca="1">COUNTIFS(INDIRECT("tblData[Gender]"),"="&amp;$B12,tblData[Day 4],"="&amp;$A12&amp;"*",tblData[Surname],"=*")</f>
        <v>0</v>
      </c>
      <c r="G12" s="192">
        <f ca="1">COUNTIFS(INDIRECT("tblData[Gender]"),"="&amp;$B12,tblData[Day 5],"="&amp;$A12&amp;"*",tblData[Surname],"=*")</f>
        <v>0</v>
      </c>
      <c r="H12" s="192">
        <f ca="1">COUNTIFS(INDIRECT("tblData[Gender]"),"="&amp;$B12,tblData[Day 6],"="&amp;$A12&amp;"*",tblData[Surname],"=*")</f>
        <v>0</v>
      </c>
      <c r="I12" s="192">
        <f ca="1">COUNTIFS(INDIRECT("tblData[Gender]"),"="&amp;$B12,tblData[Day 7],"="&amp;$A12&amp;"*",tblData[Surname],"=*")</f>
        <v>0</v>
      </c>
      <c r="J12" s="192">
        <f ca="1">COUNTIFS(INDIRECT("tblData[Gender]"),"="&amp;$B12,tblData[Day 8],"="&amp;$A12&amp;"*",tblData[Surname],"=*")</f>
        <v>0</v>
      </c>
      <c r="K12" s="201">
        <f ca="1">COUNTIFS(INDIRECT("tblData[Gender]"),"="&amp;$B12,tblData[Day 9],"="&amp;$A12&amp;"*",tblData[Surname],"=*")</f>
        <v>0</v>
      </c>
      <c r="L12" s="206">
        <f ca="1">SUM(C12:K12)</f>
        <v>0</v>
      </c>
    </row>
    <row r="13" spans="1:13" ht="24" customHeight="1" thickBot="1">
      <c r="A13" s="195" t="s">
        <v>39</v>
      </c>
      <c r="B13" s="216" t="s">
        <v>143</v>
      </c>
      <c r="C13" s="211">
        <f ca="1">COUNTIFS(INDIRECT("tblData[Gender]"),"="&amp;$B13,tblData[Day 1],"="&amp;$A13&amp;"*",tblData[Surname],"=*")</f>
        <v>0</v>
      </c>
      <c r="D13" s="196">
        <f ca="1">COUNTIFS(INDIRECT("tblData[Gender]"),"="&amp;$B13,tblData[Day 2],"="&amp;$A13&amp;"*",tblData[Surname],"=*")</f>
        <v>0</v>
      </c>
      <c r="E13" s="196">
        <f ca="1">COUNTIFS(INDIRECT("tblData[Gender]"),"="&amp;$B13,tblData[Day 3],"="&amp;$A13&amp;"*",tblData[Surname],"=*")</f>
        <v>0</v>
      </c>
      <c r="F13" s="196">
        <f ca="1">COUNTIFS(INDIRECT("tblData[Gender]"),"="&amp;$B13,tblData[Day 4],"="&amp;$A13&amp;"*",tblData[Surname],"=*")</f>
        <v>0</v>
      </c>
      <c r="G13" s="196">
        <f ca="1">COUNTIFS(INDIRECT("tblData[Gender]"),"="&amp;$B13,tblData[Day 5],"="&amp;$A13&amp;"*",tblData[Surname],"=*")</f>
        <v>0</v>
      </c>
      <c r="H13" s="196">
        <f ca="1">COUNTIFS(INDIRECT("tblData[Gender]"),"="&amp;$B13,tblData[Day 6],"="&amp;$A13&amp;"*",tblData[Surname],"=*")</f>
        <v>0</v>
      </c>
      <c r="I13" s="196">
        <f ca="1">COUNTIFS(INDIRECT("tblData[Gender]"),"="&amp;$B13,tblData[Day 7],"="&amp;$A13&amp;"*",tblData[Surname],"=*")</f>
        <v>0</v>
      </c>
      <c r="J13" s="196">
        <f ca="1">COUNTIFS(INDIRECT("tblData[Gender]"),"="&amp;$B13,tblData[Day 8],"="&amp;$A13&amp;"*",tblData[Surname],"=*")</f>
        <v>0</v>
      </c>
      <c r="K13" s="202">
        <f ca="1">COUNTIFS(INDIRECT("tblData[Gender]"),"="&amp;$B13,tblData[Day 9],"="&amp;$A13&amp;"*",tblData[Surname],"=*")</f>
        <v>0</v>
      </c>
      <c r="L13" s="207">
        <f ca="1">SUM(C13:K13)</f>
        <v>0</v>
      </c>
    </row>
    <row r="14" spans="1:13" ht="24" customHeight="1" thickBot="1">
      <c r="A14" s="197" t="s">
        <v>39</v>
      </c>
      <c r="B14" s="217" t="s">
        <v>138</v>
      </c>
      <c r="C14" s="212">
        <f ca="1">SUM(C12:C13)</f>
        <v>0</v>
      </c>
      <c r="D14" s="198">
        <f t="shared" ref="D14:L14" ca="1" si="1">SUM(D12:D13)</f>
        <v>0</v>
      </c>
      <c r="E14" s="198">
        <f t="shared" ca="1" si="1"/>
        <v>0</v>
      </c>
      <c r="F14" s="198">
        <f t="shared" ca="1" si="1"/>
        <v>0</v>
      </c>
      <c r="G14" s="198">
        <f t="shared" ca="1" si="1"/>
        <v>0</v>
      </c>
      <c r="H14" s="198">
        <f t="shared" ca="1" si="1"/>
        <v>0</v>
      </c>
      <c r="I14" s="198">
        <f t="shared" ca="1" si="1"/>
        <v>0</v>
      </c>
      <c r="J14" s="198">
        <f t="shared" ca="1" si="1"/>
        <v>0</v>
      </c>
      <c r="K14" s="203">
        <f t="shared" ca="1" si="1"/>
        <v>0</v>
      </c>
      <c r="L14" s="208">
        <f t="shared" ca="1" si="1"/>
        <v>0</v>
      </c>
    </row>
    <row r="15" spans="1:13" ht="24" customHeight="1">
      <c r="A15" s="191" t="s">
        <v>40</v>
      </c>
      <c r="B15" s="215" t="s">
        <v>142</v>
      </c>
      <c r="C15" s="210">
        <f ca="1">COUNTIFS(INDIRECT("tblData[Gender]"),"="&amp;$B15,tblData[Day 1],"="&amp;$A15&amp;"*",tblData[Surname],"=*")</f>
        <v>0</v>
      </c>
      <c r="D15" s="192">
        <f ca="1">COUNTIFS(INDIRECT("tblData[Gender]"),"="&amp;$B15,tblData[Day 2],"="&amp;$A15&amp;"*",tblData[Surname],"=*")</f>
        <v>0</v>
      </c>
      <c r="E15" s="192">
        <f ca="1">COUNTIFS(INDIRECT("tblData[Gender]"),"="&amp;$B15,tblData[Day 3],"="&amp;$A15&amp;"*",tblData[Surname],"=*")</f>
        <v>0</v>
      </c>
      <c r="F15" s="192">
        <f ca="1">COUNTIFS(INDIRECT("tblData[Gender]"),"="&amp;$B15,tblData[Day 4],"="&amp;$A15&amp;"*",tblData[Surname],"=*")</f>
        <v>0</v>
      </c>
      <c r="G15" s="192">
        <f ca="1">COUNTIFS(INDIRECT("tblData[Gender]"),"="&amp;$B15,tblData[Day 5],"="&amp;$A15&amp;"*",tblData[Surname],"=*")</f>
        <v>0</v>
      </c>
      <c r="H15" s="192">
        <f ca="1">COUNTIFS(INDIRECT("tblData[Gender]"),"="&amp;$B15,tblData[Day 6],"="&amp;$A15&amp;"*",tblData[Surname],"=*")</f>
        <v>0</v>
      </c>
      <c r="I15" s="192">
        <f ca="1">COUNTIFS(INDIRECT("tblData[Gender]"),"="&amp;$B15,tblData[Day 7],"="&amp;$A15&amp;"*",tblData[Surname],"=*")</f>
        <v>0</v>
      </c>
      <c r="J15" s="192">
        <f ca="1">COUNTIFS(INDIRECT("tblData[Gender]"),"="&amp;$B15,tblData[Day 8],"="&amp;$A15&amp;"*",tblData[Surname],"=*")</f>
        <v>0</v>
      </c>
      <c r="K15" s="201">
        <f ca="1">COUNTIFS(INDIRECT("tblData[Gender]"),"="&amp;$B15,tblData[Day 9],"="&amp;$A15&amp;"*",tblData[Surname],"=*")</f>
        <v>0</v>
      </c>
      <c r="L15" s="206">
        <f ca="1">SUM(C15:K15)</f>
        <v>0</v>
      </c>
    </row>
    <row r="16" spans="1:13" ht="24" customHeight="1" thickBot="1">
      <c r="A16" s="195" t="s">
        <v>40</v>
      </c>
      <c r="B16" s="216" t="s">
        <v>143</v>
      </c>
      <c r="C16" s="211">
        <f ca="1">COUNTIFS(INDIRECT("tblData[Gender]"),"="&amp;$B16,tblData[Day 1],"="&amp;$A16&amp;"*",tblData[Surname],"=*")</f>
        <v>0</v>
      </c>
      <c r="D16" s="196">
        <f ca="1">COUNTIFS(INDIRECT("tblData[Gender]"),"="&amp;$B16,tblData[Day 2],"="&amp;$A16&amp;"*",tblData[Surname],"=*")</f>
        <v>0</v>
      </c>
      <c r="E16" s="196">
        <f ca="1">COUNTIFS(INDIRECT("tblData[Gender]"),"="&amp;$B16,tblData[Day 3],"="&amp;$A16&amp;"*",tblData[Surname],"=*")</f>
        <v>0</v>
      </c>
      <c r="F16" s="196">
        <f ca="1">COUNTIFS(INDIRECT("tblData[Gender]"),"="&amp;$B16,tblData[Day 4],"="&amp;$A16&amp;"*",tblData[Surname],"=*")</f>
        <v>0</v>
      </c>
      <c r="G16" s="196">
        <f ca="1">COUNTIFS(INDIRECT("tblData[Gender]"),"="&amp;$B16,tblData[Day 5],"="&amp;$A16&amp;"*",tblData[Surname],"=*")</f>
        <v>0</v>
      </c>
      <c r="H16" s="196">
        <f ca="1">COUNTIFS(INDIRECT("tblData[Gender]"),"="&amp;$B16,tblData[Day 6],"="&amp;$A16&amp;"*",tblData[Surname],"=*")</f>
        <v>0</v>
      </c>
      <c r="I16" s="196">
        <f ca="1">COUNTIFS(INDIRECT("tblData[Gender]"),"="&amp;$B16,tblData[Day 7],"="&amp;$A16&amp;"*",tblData[Surname],"=*")</f>
        <v>0</v>
      </c>
      <c r="J16" s="196">
        <f ca="1">COUNTIFS(INDIRECT("tblData[Gender]"),"="&amp;$B16,tblData[Day 8],"="&amp;$A16&amp;"*",tblData[Surname],"=*")</f>
        <v>0</v>
      </c>
      <c r="K16" s="202">
        <f ca="1">COUNTIFS(INDIRECT("tblData[Gender]"),"="&amp;$B16,tblData[Day 9],"="&amp;$A16&amp;"*",tblData[Surname],"=*")</f>
        <v>0</v>
      </c>
      <c r="L16" s="207">
        <f ca="1">SUM(C16:K16)</f>
        <v>0</v>
      </c>
    </row>
    <row r="17" spans="1:12" ht="24" customHeight="1" thickBot="1">
      <c r="A17" s="197" t="s">
        <v>40</v>
      </c>
      <c r="B17" s="217" t="s">
        <v>138</v>
      </c>
      <c r="C17" s="212">
        <f ca="1">SUM(C15:C16)</f>
        <v>0</v>
      </c>
      <c r="D17" s="198">
        <f t="shared" ref="D17:L17" ca="1" si="2">SUM(D15:D16)</f>
        <v>0</v>
      </c>
      <c r="E17" s="198">
        <f t="shared" ca="1" si="2"/>
        <v>0</v>
      </c>
      <c r="F17" s="198">
        <f t="shared" ca="1" si="2"/>
        <v>0</v>
      </c>
      <c r="G17" s="198">
        <f t="shared" ca="1" si="2"/>
        <v>0</v>
      </c>
      <c r="H17" s="198">
        <f t="shared" ca="1" si="2"/>
        <v>0</v>
      </c>
      <c r="I17" s="198">
        <f t="shared" ca="1" si="2"/>
        <v>0</v>
      </c>
      <c r="J17" s="198">
        <f t="shared" ca="1" si="2"/>
        <v>0</v>
      </c>
      <c r="K17" s="203">
        <f t="shared" ca="1" si="2"/>
        <v>0</v>
      </c>
      <c r="L17" s="208">
        <f t="shared" ca="1" si="2"/>
        <v>0</v>
      </c>
    </row>
    <row r="18" spans="1:12" ht="24" customHeight="1">
      <c r="A18" s="191" t="s">
        <v>41</v>
      </c>
      <c r="B18" s="215" t="s">
        <v>142</v>
      </c>
      <c r="C18" s="210">
        <f ca="1">COUNTIFS(INDIRECT("tblData[Gender]"),"="&amp;$B18,tblData[Day 1],"="&amp;$A18&amp;"*",tblData[Surname],"=*")</f>
        <v>0</v>
      </c>
      <c r="D18" s="192">
        <f ca="1">COUNTIFS(INDIRECT("tblData[Gender]"),"="&amp;$B18,tblData[Day 2],"="&amp;$A18&amp;"*",tblData[Surname],"=*")</f>
        <v>0</v>
      </c>
      <c r="E18" s="192">
        <f ca="1">COUNTIFS(INDIRECT("tblData[Gender]"),"="&amp;$B18,tblData[Day 3],"="&amp;$A18&amp;"*",tblData[Surname],"=*")</f>
        <v>0</v>
      </c>
      <c r="F18" s="192">
        <f ca="1">COUNTIFS(INDIRECT("tblData[Gender]"),"="&amp;$B18,tblData[Day 4],"="&amp;$A18&amp;"*",tblData[Surname],"=*")</f>
        <v>0</v>
      </c>
      <c r="G18" s="192">
        <f ca="1">COUNTIFS(INDIRECT("tblData[Gender]"),"="&amp;$B18,tblData[Day 5],"="&amp;$A18&amp;"*",tblData[Surname],"=*")</f>
        <v>0</v>
      </c>
      <c r="H18" s="192">
        <f ca="1">COUNTIFS(INDIRECT("tblData[Gender]"),"="&amp;$B18,tblData[Day 6],"="&amp;$A18&amp;"*",tblData[Surname],"=*")</f>
        <v>0</v>
      </c>
      <c r="I18" s="192">
        <f ca="1">COUNTIFS(INDIRECT("tblData[Gender]"),"="&amp;$B18,tblData[Day 7],"="&amp;$A18&amp;"*",tblData[Surname],"=*")</f>
        <v>0</v>
      </c>
      <c r="J18" s="192">
        <f ca="1">COUNTIFS(INDIRECT("tblData[Gender]"),"="&amp;$B18,tblData[Day 8],"="&amp;$A18&amp;"*",tblData[Surname],"=*")</f>
        <v>0</v>
      </c>
      <c r="K18" s="201">
        <f ca="1">COUNTIFS(INDIRECT("tblData[Gender]"),"="&amp;$B18,tblData[Day 9],"="&amp;$A18&amp;"*",tblData[Surname],"=*")</f>
        <v>0</v>
      </c>
      <c r="L18" s="206">
        <f ca="1">SUM(C18:K18)</f>
        <v>0</v>
      </c>
    </row>
    <row r="19" spans="1:12" ht="24" customHeight="1" thickBot="1">
      <c r="A19" s="195" t="s">
        <v>41</v>
      </c>
      <c r="B19" s="216" t="s">
        <v>143</v>
      </c>
      <c r="C19" s="211">
        <f ca="1">COUNTIFS(INDIRECT("tblData[Gender]"),"="&amp;$B19,tblData[Day 1],"="&amp;$A19&amp;"*",tblData[Surname],"=*")</f>
        <v>0</v>
      </c>
      <c r="D19" s="196">
        <f ca="1">COUNTIFS(INDIRECT("tblData[Gender]"),"="&amp;$B19,tblData[Day 2],"="&amp;$A19&amp;"*",tblData[Surname],"=*")</f>
        <v>0</v>
      </c>
      <c r="E19" s="196">
        <f ca="1">COUNTIFS(INDIRECT("tblData[Gender]"),"="&amp;$B19,tblData[Day 3],"="&amp;$A19&amp;"*",tblData[Surname],"=*")</f>
        <v>0</v>
      </c>
      <c r="F19" s="196">
        <f ca="1">COUNTIFS(INDIRECT("tblData[Gender]"),"="&amp;$B19,tblData[Day 4],"="&amp;$A19&amp;"*",tblData[Surname],"=*")</f>
        <v>0</v>
      </c>
      <c r="G19" s="196">
        <f ca="1">COUNTIFS(INDIRECT("tblData[Gender]"),"="&amp;$B19,tblData[Day 5],"="&amp;$A19&amp;"*",tblData[Surname],"=*")</f>
        <v>0</v>
      </c>
      <c r="H19" s="196">
        <f ca="1">COUNTIFS(INDIRECT("tblData[Gender]"),"="&amp;$B19,tblData[Day 6],"="&amp;$A19&amp;"*",tblData[Surname],"=*")</f>
        <v>0</v>
      </c>
      <c r="I19" s="196">
        <f ca="1">COUNTIFS(INDIRECT("tblData[Gender]"),"="&amp;$B19,tblData[Day 7],"="&amp;$A19&amp;"*",tblData[Surname],"=*")</f>
        <v>0</v>
      </c>
      <c r="J19" s="196">
        <f ca="1">COUNTIFS(INDIRECT("tblData[Gender]"),"="&amp;$B19,tblData[Day 8],"="&amp;$A19&amp;"*",tblData[Surname],"=*")</f>
        <v>0</v>
      </c>
      <c r="K19" s="202">
        <f ca="1">COUNTIFS(INDIRECT("tblData[Gender]"),"="&amp;$B19,tblData[Day 9],"="&amp;$A19&amp;"*",tblData[Surname],"=*")</f>
        <v>0</v>
      </c>
      <c r="L19" s="207">
        <f ca="1">SUM(C19:K19)</f>
        <v>0</v>
      </c>
    </row>
    <row r="20" spans="1:12" ht="24" customHeight="1" thickBot="1">
      <c r="A20" s="197" t="s">
        <v>41</v>
      </c>
      <c r="B20" s="217" t="s">
        <v>138</v>
      </c>
      <c r="C20" s="213">
        <f ca="1">SUM(C18:C19)</f>
        <v>0</v>
      </c>
      <c r="D20" s="199">
        <f t="shared" ref="D20:L20" ca="1" si="3">SUM(D18:D19)</f>
        <v>0</v>
      </c>
      <c r="E20" s="199">
        <f t="shared" ca="1" si="3"/>
        <v>0</v>
      </c>
      <c r="F20" s="199">
        <f t="shared" ca="1" si="3"/>
        <v>0</v>
      </c>
      <c r="G20" s="199">
        <f t="shared" ca="1" si="3"/>
        <v>0</v>
      </c>
      <c r="H20" s="199">
        <f t="shared" ca="1" si="3"/>
        <v>0</v>
      </c>
      <c r="I20" s="199">
        <f t="shared" ca="1" si="3"/>
        <v>0</v>
      </c>
      <c r="J20" s="199">
        <f t="shared" ca="1" si="3"/>
        <v>0</v>
      </c>
      <c r="K20" s="204">
        <f t="shared" ca="1" si="3"/>
        <v>0</v>
      </c>
      <c r="L20" s="208">
        <f t="shared" ca="1" si="3"/>
        <v>0</v>
      </c>
    </row>
    <row r="21" spans="1:12" ht="20.100000000000001" customHeight="1">
      <c r="C21" s="94"/>
      <c r="D21" s="94"/>
      <c r="E21" s="94"/>
      <c r="F21" s="94"/>
      <c r="G21" s="94"/>
      <c r="H21" s="94"/>
      <c r="I21" s="94"/>
      <c r="J21" s="94"/>
      <c r="K21" s="94"/>
      <c r="L21" s="95"/>
    </row>
    <row r="22" spans="1:12">
      <c r="A22" s="504" t="s">
        <v>105</v>
      </c>
      <c r="B22" s="504"/>
      <c r="C22" s="501" t="s">
        <v>283</v>
      </c>
      <c r="D22" s="501"/>
      <c r="E22" s="501"/>
      <c r="F22" s="501"/>
      <c r="G22" s="501"/>
      <c r="H22" s="501"/>
      <c r="I22" s="501"/>
      <c r="J22" s="501"/>
      <c r="K22" s="501"/>
      <c r="L22" s="501"/>
    </row>
  </sheetData>
  <sheetProtection password="E8E9" sheet="1" objects="1" scenarios="1" selectLockedCells="1" selectUnlockedCells="1"/>
  <mergeCells count="6">
    <mergeCell ref="A1:L1"/>
    <mergeCell ref="A2:L2"/>
    <mergeCell ref="C22:L22"/>
    <mergeCell ref="A4:L4"/>
    <mergeCell ref="A10:L10"/>
    <mergeCell ref="A22:B22"/>
  </mergeCells>
  <phoneticPr fontId="8" type="noConversion"/>
  <conditionalFormatting sqref="C15:K16">
    <cfRule type="expression" dxfId="62" priority="2">
      <formula>MOD(C15,2)&gt;0</formula>
    </cfRule>
  </conditionalFormatting>
  <conditionalFormatting sqref="C18:K19">
    <cfRule type="expression" dxfId="61" priority="1">
      <formula>AND(C18&gt;0,C18&lt;3)</formula>
    </cfRule>
  </conditionalFormatting>
  <printOptions horizontalCentered="1"/>
  <pageMargins left="0.70000000000000007" right="0.70000000000000007" top="0.75000000000000011" bottom="0.75000000000000011" header="0.30000000000000004" footer="0.30000000000000004"/>
  <pageSetup paperSize="9" orientation="landscape" r:id="rId1"/>
  <ignoredErrors>
    <ignoredError sqref="C14:L14 C17:L17" formula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Tabelle3">
    <tabColor rgb="FF145A99"/>
    <pageSetUpPr fitToPage="1"/>
  </sheetPr>
  <dimension ref="A1:I46"/>
  <sheetViews>
    <sheetView showGridLines="0" showRowColHeaders="0" zoomScaleNormal="100" workbookViewId="0">
      <selection activeCell="D7" sqref="D7:I7"/>
    </sheetView>
  </sheetViews>
  <sheetFormatPr baseColWidth="10" defaultColWidth="10.875" defaultRowHeight="12.75"/>
  <cols>
    <col min="1" max="1" width="3.5" style="96" customWidth="1"/>
    <col min="2" max="2" width="6.5" style="96" bestFit="1" customWidth="1"/>
    <col min="3" max="3" width="5.5" style="96" customWidth="1"/>
    <col min="4" max="4" width="21" style="96" customWidth="1"/>
    <col min="5" max="5" width="9" style="96" customWidth="1"/>
    <col min="6" max="6" width="8.5" style="96" customWidth="1"/>
    <col min="7" max="7" width="5" style="96" customWidth="1"/>
    <col min="8" max="8" width="9" style="96" customWidth="1"/>
    <col min="9" max="9" width="14.625" style="96" customWidth="1"/>
    <col min="10" max="10" width="9.125" style="96" customWidth="1"/>
    <col min="11" max="16384" width="10.875" style="96"/>
  </cols>
  <sheetData>
    <row r="1" spans="1:9" ht="26.25">
      <c r="A1" s="499" t="str">
        <f>Header1</f>
        <v>JUNIOR EUROPEAN JUDO CUP</v>
      </c>
      <c r="B1" s="499"/>
      <c r="C1" s="499"/>
      <c r="D1" s="499"/>
      <c r="E1" s="499"/>
      <c r="F1" s="499"/>
      <c r="G1" s="499"/>
      <c r="H1" s="499"/>
      <c r="I1" s="499"/>
    </row>
    <row r="2" spans="1:9" ht="38.1" customHeight="1">
      <c r="A2" s="500" t="str">
        <f>Header2</f>
        <v>IJF WORLD JUNIOR TOUR, June, 02 and 03, 2018 
EJU JUNIOR TRAINING CAMP, June 04 to 06, 2018 (Leibnitz - Austria)</v>
      </c>
      <c r="B2" s="500"/>
      <c r="C2" s="500"/>
      <c r="D2" s="500"/>
      <c r="E2" s="500"/>
      <c r="F2" s="500"/>
      <c r="G2" s="500"/>
      <c r="H2" s="500"/>
      <c r="I2" s="500"/>
    </row>
    <row r="4" spans="1:9" ht="15.75">
      <c r="A4" s="515" t="s">
        <v>101</v>
      </c>
      <c r="B4" s="515"/>
      <c r="C4" s="515"/>
      <c r="D4" s="515"/>
      <c r="E4" s="515"/>
      <c r="F4" s="515"/>
      <c r="G4" s="515"/>
      <c r="H4" s="515"/>
      <c r="I4" s="515"/>
    </row>
    <row r="5" spans="1:9" ht="15.75">
      <c r="A5" s="516" t="s">
        <v>160</v>
      </c>
      <c r="B5" s="515"/>
      <c r="C5" s="515"/>
      <c r="D5" s="515"/>
      <c r="E5" s="515"/>
      <c r="F5" s="515"/>
      <c r="G5" s="515"/>
      <c r="H5" s="515"/>
      <c r="I5" s="515"/>
    </row>
    <row r="6" spans="1:9" ht="8.1" customHeight="1" thickBot="1"/>
    <row r="7" spans="1:9" ht="15.95" customHeight="1">
      <c r="A7" s="517" t="s">
        <v>84</v>
      </c>
      <c r="B7" s="518"/>
      <c r="C7" s="518"/>
      <c r="D7" s="521" t="str">
        <f>IF(ISBLANK(Federation),"",Federation)</f>
        <v/>
      </c>
      <c r="E7" s="521"/>
      <c r="F7" s="521"/>
      <c r="G7" s="521"/>
      <c r="H7" s="521"/>
      <c r="I7" s="522"/>
    </row>
    <row r="8" spans="1:9" ht="15.95" customHeight="1">
      <c r="A8" s="519" t="s">
        <v>102</v>
      </c>
      <c r="B8" s="520"/>
      <c r="C8" s="520"/>
      <c r="D8" s="218" t="str">
        <f>IF(ISBLANK(ContactPerson),"",ContactPerson)</f>
        <v/>
      </c>
      <c r="E8" s="219" t="s">
        <v>62</v>
      </c>
      <c r="F8" s="505" t="str">
        <f>IF(ISBLANK(Position),"",Position)</f>
        <v/>
      </c>
      <c r="G8" s="505"/>
      <c r="H8" s="505"/>
      <c r="I8" s="507"/>
    </row>
    <row r="9" spans="1:9" ht="15.95" customHeight="1" thickBot="1">
      <c r="A9" s="513" t="s">
        <v>86</v>
      </c>
      <c r="B9" s="514"/>
      <c r="C9" s="514"/>
      <c r="D9" s="220" t="str">
        <f>IF(ISBLANK(PhoneNumber),"",PhoneNumber)</f>
        <v/>
      </c>
      <c r="E9" s="221" t="s">
        <v>87</v>
      </c>
      <c r="F9" s="506" t="str">
        <f>IF(ISBLANK(Email),"",Email)</f>
        <v/>
      </c>
      <c r="G9" s="506"/>
      <c r="H9" s="506"/>
      <c r="I9" s="508"/>
    </row>
    <row r="10" spans="1:9" ht="8.1" customHeight="1" thickBot="1"/>
    <row r="11" spans="1:9" ht="17.100000000000001" customHeight="1" thickBot="1">
      <c r="A11" s="240"/>
      <c r="B11" s="241"/>
      <c r="C11" s="509" t="s">
        <v>281</v>
      </c>
      <c r="D11" s="509"/>
      <c r="E11" s="509" t="s">
        <v>282</v>
      </c>
      <c r="F11" s="509"/>
      <c r="G11" s="509"/>
      <c r="H11" s="509" t="s">
        <v>104</v>
      </c>
      <c r="I11" s="512"/>
    </row>
    <row r="12" spans="1:9" ht="15.95" customHeight="1">
      <c r="A12" s="233">
        <v>1</v>
      </c>
      <c r="B12" s="234" t="str">
        <f ca="1">IFERROR(IF(VLOOKUP('Data Entry Form'!$BK14,tblData[],COLUMN(INDIRECT("tblData[[Gender]]")),0)="MALE","Mr","Ms"),"")</f>
        <v/>
      </c>
      <c r="C12" s="510" t="str">
        <f ca="1">IFERROR(VLOOKUP('Data Entry Form'!$BK14,tblData[],COLUMN(INDIRECT("tblData[[Surname]]")),0),"")</f>
        <v/>
      </c>
      <c r="D12" s="510"/>
      <c r="E12" s="510" t="str">
        <f ca="1">IFERROR(VLOOKUP('Data Entry Form'!$BK14,tblData[],COLUMN(INDIRECT("tblData[[Given Name]]")),0),"")</f>
        <v/>
      </c>
      <c r="F12" s="510"/>
      <c r="G12" s="510"/>
      <c r="H12" s="510" t="str">
        <f ca="1">IFERROR(VLOOKUP('Data Entry Form'!$BK14,tblData[],COLUMN(INDIRECT("tblData[[SubType1]]")),0),"")</f>
        <v/>
      </c>
      <c r="I12" s="511"/>
    </row>
    <row r="13" spans="1:9" ht="15.95" customHeight="1">
      <c r="A13" s="222">
        <f>A12+1</f>
        <v>2</v>
      </c>
      <c r="B13" s="223" t="str">
        <f ca="1">IFERROR(IF(VLOOKUP('Data Entry Form'!$BK15,tblData[],COLUMN(INDIRECT("tblData[[Gender]]")),0)="MALE","Mr","Ms"),"")</f>
        <v/>
      </c>
      <c r="C13" s="505" t="str">
        <f ca="1">IFERROR(VLOOKUP('Data Entry Form'!$BK15,tblData[],COLUMN(INDIRECT("tblData[[Surname]]")),0),"")</f>
        <v/>
      </c>
      <c r="D13" s="505"/>
      <c r="E13" s="505" t="str">
        <f ca="1">IFERROR(VLOOKUP('Data Entry Form'!$BK15,tblData[],COLUMN(INDIRECT("tblData[[Given Name]]")),0),"")</f>
        <v/>
      </c>
      <c r="F13" s="505"/>
      <c r="G13" s="505"/>
      <c r="H13" s="505" t="str">
        <f ca="1">IFERROR(VLOOKUP('Data Entry Form'!$BK15,tblData[],COLUMN(INDIRECT("tblData[[SubType1]]")),0),"")</f>
        <v/>
      </c>
      <c r="I13" s="507"/>
    </row>
    <row r="14" spans="1:9" ht="15.95" customHeight="1">
      <c r="A14" s="222">
        <f t="shared" ref="A14:A40" si="0">A13+1</f>
        <v>3</v>
      </c>
      <c r="B14" s="223" t="str">
        <f ca="1">IFERROR(IF(VLOOKUP('Data Entry Form'!$BK16,tblData[],COLUMN(INDIRECT("tblData[[Gender]]")),0)="MALE","Mr","Ms"),"")</f>
        <v/>
      </c>
      <c r="C14" s="505" t="str">
        <f ca="1">IFERROR(VLOOKUP('Data Entry Form'!$BK16,tblData[],COLUMN(INDIRECT("tblData[[Surname]]")),0),"")</f>
        <v/>
      </c>
      <c r="D14" s="505"/>
      <c r="E14" s="505" t="str">
        <f ca="1">IFERROR(VLOOKUP('Data Entry Form'!$BK16,tblData[],COLUMN(INDIRECT("tblData[[Given Name]]")),0),"")</f>
        <v/>
      </c>
      <c r="F14" s="505"/>
      <c r="G14" s="505"/>
      <c r="H14" s="505" t="str">
        <f ca="1">IFERROR(VLOOKUP('Data Entry Form'!$BK16,tblData[],COLUMN(INDIRECT("tblData[[SubType1]]")),0),"")</f>
        <v/>
      </c>
      <c r="I14" s="507"/>
    </row>
    <row r="15" spans="1:9" ht="15.95" customHeight="1">
      <c r="A15" s="222">
        <f t="shared" si="0"/>
        <v>4</v>
      </c>
      <c r="B15" s="223" t="str">
        <f ca="1">IFERROR(IF(VLOOKUP('Data Entry Form'!$BK17,tblData[],COLUMN(INDIRECT("tblData[[Gender]]")),0)="MALE","Mr","Ms"),"")</f>
        <v/>
      </c>
      <c r="C15" s="505" t="str">
        <f ca="1">IFERROR(VLOOKUP('Data Entry Form'!$BK17,tblData[],COLUMN(INDIRECT("tblData[[Surname]]")),0),"")</f>
        <v/>
      </c>
      <c r="D15" s="505"/>
      <c r="E15" s="505" t="str">
        <f ca="1">IFERROR(VLOOKUP('Data Entry Form'!$BK17,tblData[],COLUMN(INDIRECT("tblData[[Given Name]]")),0),"")</f>
        <v/>
      </c>
      <c r="F15" s="505"/>
      <c r="G15" s="505"/>
      <c r="H15" s="505" t="str">
        <f ca="1">IFERROR(VLOOKUP('Data Entry Form'!$BK17,tblData[],COLUMN(INDIRECT("tblData[[SubType1]]")),0),"")</f>
        <v/>
      </c>
      <c r="I15" s="507"/>
    </row>
    <row r="16" spans="1:9" ht="15.95" customHeight="1">
      <c r="A16" s="222">
        <f t="shared" si="0"/>
        <v>5</v>
      </c>
      <c r="B16" s="223" t="str">
        <f ca="1">IFERROR(IF(VLOOKUP('Data Entry Form'!$BK18,tblData[],COLUMN(INDIRECT("tblData[[Gender]]")),0)="MALE","Mr","Ms"),"")</f>
        <v/>
      </c>
      <c r="C16" s="505" t="str">
        <f ca="1">IFERROR(VLOOKUP('Data Entry Form'!$BK18,tblData[],COLUMN(INDIRECT("tblData[[Surname]]")),0),"")</f>
        <v/>
      </c>
      <c r="D16" s="505"/>
      <c r="E16" s="505" t="str">
        <f ca="1">IFERROR(VLOOKUP('Data Entry Form'!$BK18,tblData[],COLUMN(INDIRECT("tblData[[Given Name]]")),0),"")</f>
        <v/>
      </c>
      <c r="F16" s="505"/>
      <c r="G16" s="505"/>
      <c r="H16" s="505" t="str">
        <f ca="1">IFERROR(VLOOKUP('Data Entry Form'!$BK18,tblData[],COLUMN(INDIRECT("tblData[[SubType1]]")),0),"")</f>
        <v/>
      </c>
      <c r="I16" s="507"/>
    </row>
    <row r="17" spans="1:9" ht="15.95" customHeight="1">
      <c r="A17" s="222">
        <f t="shared" si="0"/>
        <v>6</v>
      </c>
      <c r="B17" s="223" t="str">
        <f ca="1">IFERROR(IF(VLOOKUP('Data Entry Form'!$BK19,tblData[],COLUMN(INDIRECT("tblData[[Gender]]")),0)="MALE","Mr","Ms"),"")</f>
        <v/>
      </c>
      <c r="C17" s="505" t="str">
        <f ca="1">IFERROR(VLOOKUP('Data Entry Form'!$BK19,tblData[],COLUMN(INDIRECT("tblData[[Surname]]")),0),"")</f>
        <v/>
      </c>
      <c r="D17" s="505"/>
      <c r="E17" s="505" t="str">
        <f ca="1">IFERROR(VLOOKUP('Data Entry Form'!$BK19,tblData[],COLUMN(INDIRECT("tblData[[Given Name]]")),0),"")</f>
        <v/>
      </c>
      <c r="F17" s="505"/>
      <c r="G17" s="505"/>
      <c r="H17" s="505" t="str">
        <f ca="1">IFERROR(VLOOKUP('Data Entry Form'!$BK19,tblData[],COLUMN(INDIRECT("tblData[[SubType1]]")),0),"")</f>
        <v/>
      </c>
      <c r="I17" s="507"/>
    </row>
    <row r="18" spans="1:9" ht="15.95" customHeight="1">
      <c r="A18" s="222">
        <f t="shared" si="0"/>
        <v>7</v>
      </c>
      <c r="B18" s="223" t="str">
        <f ca="1">IFERROR(IF(VLOOKUP('Data Entry Form'!$BK20,tblData[],COLUMN(INDIRECT("tblData[[Gender]]")),0)="MALE","Mr","Ms"),"")</f>
        <v/>
      </c>
      <c r="C18" s="505" t="str">
        <f ca="1">IFERROR(VLOOKUP('Data Entry Form'!$BK20,tblData[],COLUMN(INDIRECT("tblData[[Surname]]")),0),"")</f>
        <v/>
      </c>
      <c r="D18" s="505"/>
      <c r="E18" s="505" t="str">
        <f ca="1">IFERROR(VLOOKUP('Data Entry Form'!$BK20,tblData[],COLUMN(INDIRECT("tblData[[Given Name]]")),0),"")</f>
        <v/>
      </c>
      <c r="F18" s="505"/>
      <c r="G18" s="505"/>
      <c r="H18" s="505" t="str">
        <f ca="1">IFERROR(VLOOKUP('Data Entry Form'!$BK20,tblData[],COLUMN(INDIRECT("tblData[[SubType1]]")),0),"")</f>
        <v/>
      </c>
      <c r="I18" s="507"/>
    </row>
    <row r="19" spans="1:9" ht="15.95" customHeight="1">
      <c r="A19" s="222">
        <f t="shared" si="0"/>
        <v>8</v>
      </c>
      <c r="B19" s="223" t="str">
        <f ca="1">IFERROR(IF(VLOOKUP('Data Entry Form'!$BK21,tblData[],COLUMN(INDIRECT("tblData[[Gender]]")),0)="MALE","Mr","Ms"),"")</f>
        <v/>
      </c>
      <c r="C19" s="505" t="str">
        <f ca="1">IFERROR(VLOOKUP('Data Entry Form'!$BK21,tblData[],COLUMN(INDIRECT("tblData[[Surname]]")),0),"")</f>
        <v/>
      </c>
      <c r="D19" s="505"/>
      <c r="E19" s="505" t="str">
        <f ca="1">IFERROR(VLOOKUP('Data Entry Form'!$BK21,tblData[],COLUMN(INDIRECT("tblData[[Given Name]]")),0),"")</f>
        <v/>
      </c>
      <c r="F19" s="505"/>
      <c r="G19" s="505"/>
      <c r="H19" s="505" t="str">
        <f ca="1">IFERROR(VLOOKUP('Data Entry Form'!$BK21,tblData[],COLUMN(INDIRECT("tblData[[SubType1]]")),0),"")</f>
        <v/>
      </c>
      <c r="I19" s="507"/>
    </row>
    <row r="20" spans="1:9" ht="15.95" customHeight="1">
      <c r="A20" s="222">
        <f t="shared" si="0"/>
        <v>9</v>
      </c>
      <c r="B20" s="223" t="str">
        <f ca="1">IFERROR(IF(VLOOKUP('Data Entry Form'!$BK22,tblData[],COLUMN(INDIRECT("tblData[[Gender]]")),0)="MALE","Mr","Ms"),"")</f>
        <v/>
      </c>
      <c r="C20" s="505" t="str">
        <f ca="1">IFERROR(VLOOKUP('Data Entry Form'!$BK22,tblData[],COLUMN(INDIRECT("tblData[[Surname]]")),0),"")</f>
        <v/>
      </c>
      <c r="D20" s="505"/>
      <c r="E20" s="505" t="str">
        <f ca="1">IFERROR(VLOOKUP('Data Entry Form'!$BK22,tblData[],COLUMN(INDIRECT("tblData[[Given Name]]")),0),"")</f>
        <v/>
      </c>
      <c r="F20" s="505"/>
      <c r="G20" s="505"/>
      <c r="H20" s="505" t="str">
        <f ca="1">IFERROR(VLOOKUP('Data Entry Form'!$BK22,tblData[],COLUMN(INDIRECT("tblData[[SubType1]]")),0),"")</f>
        <v/>
      </c>
      <c r="I20" s="507"/>
    </row>
    <row r="21" spans="1:9" ht="15.95" customHeight="1">
      <c r="A21" s="222">
        <f t="shared" si="0"/>
        <v>10</v>
      </c>
      <c r="B21" s="223" t="str">
        <f ca="1">IFERROR(IF(VLOOKUP('Data Entry Form'!$BK23,tblData[],COLUMN(INDIRECT("tblData[[Gender]]")),0)="MALE","Mr","Ms"),"")</f>
        <v/>
      </c>
      <c r="C21" s="505" t="str">
        <f ca="1">IFERROR(VLOOKUP('Data Entry Form'!$BK23,tblData[],COLUMN(INDIRECT("tblData[[Surname]]")),0),"")</f>
        <v/>
      </c>
      <c r="D21" s="505"/>
      <c r="E21" s="505" t="str">
        <f ca="1">IFERROR(VLOOKUP('Data Entry Form'!$BK23,tblData[],COLUMN(INDIRECT("tblData[[Given Name]]")),0),"")</f>
        <v/>
      </c>
      <c r="F21" s="505"/>
      <c r="G21" s="505"/>
      <c r="H21" s="505" t="str">
        <f ca="1">IFERROR(VLOOKUP('Data Entry Form'!$BK23,tblData[],COLUMN(INDIRECT("tblData[[SubType1]]")),0),"")</f>
        <v/>
      </c>
      <c r="I21" s="507"/>
    </row>
    <row r="22" spans="1:9" ht="15.95" customHeight="1">
      <c r="A22" s="222">
        <f t="shared" si="0"/>
        <v>11</v>
      </c>
      <c r="B22" s="223" t="str">
        <f ca="1">IFERROR(IF(VLOOKUP('Data Entry Form'!$BK24,tblData[],COLUMN(INDIRECT("tblData[[Gender]]")),0)="MALE","Mr","Ms"),"")</f>
        <v/>
      </c>
      <c r="C22" s="505" t="str">
        <f ca="1">IFERROR(VLOOKUP('Data Entry Form'!$BK24,tblData[],COLUMN(INDIRECT("tblData[[Surname]]")),0),"")</f>
        <v/>
      </c>
      <c r="D22" s="505"/>
      <c r="E22" s="505" t="str">
        <f ca="1">IFERROR(VLOOKUP('Data Entry Form'!$BK24,tblData[],COLUMN(INDIRECT("tblData[[Given Name]]")),0),"")</f>
        <v/>
      </c>
      <c r="F22" s="505"/>
      <c r="G22" s="505"/>
      <c r="H22" s="505" t="str">
        <f ca="1">IFERROR(VLOOKUP('Data Entry Form'!$BK24,tblData[],COLUMN(INDIRECT("tblData[[SubType1]]")),0),"")</f>
        <v/>
      </c>
      <c r="I22" s="507"/>
    </row>
    <row r="23" spans="1:9" ht="15.95" customHeight="1">
      <c r="A23" s="222">
        <f t="shared" si="0"/>
        <v>12</v>
      </c>
      <c r="B23" s="223" t="str">
        <f ca="1">IFERROR(IF(VLOOKUP('Data Entry Form'!$BK25,tblData[],COLUMN(INDIRECT("tblData[[Gender]]")),0)="MALE","Mr","Ms"),"")</f>
        <v/>
      </c>
      <c r="C23" s="505" t="str">
        <f ca="1">IFERROR(VLOOKUP('Data Entry Form'!$BK25,tblData[],COLUMN(INDIRECT("tblData[[Surname]]")),0),"")</f>
        <v/>
      </c>
      <c r="D23" s="505"/>
      <c r="E23" s="505" t="str">
        <f ca="1">IFERROR(VLOOKUP('Data Entry Form'!$BK25,tblData[],COLUMN(INDIRECT("tblData[[Given Name]]")),0),"")</f>
        <v/>
      </c>
      <c r="F23" s="505"/>
      <c r="G23" s="505"/>
      <c r="H23" s="505" t="str">
        <f ca="1">IFERROR(VLOOKUP('Data Entry Form'!$BK25,tblData[],COLUMN(INDIRECT("tblData[[SubType1]]")),0),"")</f>
        <v/>
      </c>
      <c r="I23" s="507"/>
    </row>
    <row r="24" spans="1:9" ht="15.95" customHeight="1">
      <c r="A24" s="222">
        <f t="shared" si="0"/>
        <v>13</v>
      </c>
      <c r="B24" s="223" t="str">
        <f ca="1">IFERROR(IF(VLOOKUP('Data Entry Form'!$BK26,tblData[],COLUMN(INDIRECT("tblData[[Gender]]")),0)="MALE","Mr","Ms"),"")</f>
        <v/>
      </c>
      <c r="C24" s="505" t="str">
        <f ca="1">IFERROR(VLOOKUP('Data Entry Form'!$BK26,tblData[],COLUMN(INDIRECT("tblData[[Surname]]")),0),"")</f>
        <v/>
      </c>
      <c r="D24" s="505"/>
      <c r="E24" s="505" t="str">
        <f ca="1">IFERROR(VLOOKUP('Data Entry Form'!$BK26,tblData[],COLUMN(INDIRECT("tblData[[Given Name]]")),0),"")</f>
        <v/>
      </c>
      <c r="F24" s="505"/>
      <c r="G24" s="505"/>
      <c r="H24" s="505" t="str">
        <f ca="1">IFERROR(VLOOKUP('Data Entry Form'!$BK26,tblData[],COLUMN(INDIRECT("tblData[[SubType1]]")),0),"")</f>
        <v/>
      </c>
      <c r="I24" s="507"/>
    </row>
    <row r="25" spans="1:9" ht="15.95" customHeight="1">
      <c r="A25" s="222">
        <f t="shared" si="0"/>
        <v>14</v>
      </c>
      <c r="B25" s="223" t="str">
        <f ca="1">IFERROR(IF(VLOOKUP('Data Entry Form'!$BK27,tblData[],COLUMN(INDIRECT("tblData[[Gender]]")),0)="MALE","Mr","Ms"),"")</f>
        <v/>
      </c>
      <c r="C25" s="505" t="str">
        <f ca="1">IFERROR(VLOOKUP('Data Entry Form'!$BK27,tblData[],COLUMN(INDIRECT("tblData[[Surname]]")),0),"")</f>
        <v/>
      </c>
      <c r="D25" s="505"/>
      <c r="E25" s="505" t="str">
        <f ca="1">IFERROR(VLOOKUP('Data Entry Form'!$BK27,tblData[],COLUMN(INDIRECT("tblData[[Given Name]]")),0),"")</f>
        <v/>
      </c>
      <c r="F25" s="505"/>
      <c r="G25" s="505"/>
      <c r="H25" s="505" t="str">
        <f ca="1">IFERROR(VLOOKUP('Data Entry Form'!$BK27,tblData[],COLUMN(INDIRECT("tblData[[SubType1]]")),0),"")</f>
        <v/>
      </c>
      <c r="I25" s="507"/>
    </row>
    <row r="26" spans="1:9" ht="15.95" customHeight="1">
      <c r="A26" s="222">
        <f t="shared" si="0"/>
        <v>15</v>
      </c>
      <c r="B26" s="223" t="str">
        <f ca="1">IFERROR(IF(VLOOKUP('Data Entry Form'!$BK28,tblData[],COLUMN(INDIRECT("tblData[[Gender]]")),0)="MALE","Mr","Ms"),"")</f>
        <v/>
      </c>
      <c r="C26" s="505" t="str">
        <f ca="1">IFERROR(VLOOKUP('Data Entry Form'!$BK28,tblData[],COLUMN(INDIRECT("tblData[[Surname]]")),0),"")</f>
        <v/>
      </c>
      <c r="D26" s="505"/>
      <c r="E26" s="505" t="str">
        <f ca="1">IFERROR(VLOOKUP('Data Entry Form'!$BK28,tblData[],COLUMN(INDIRECT("tblData[[Given Name]]")),0),"")</f>
        <v/>
      </c>
      <c r="F26" s="505"/>
      <c r="G26" s="505"/>
      <c r="H26" s="505" t="str">
        <f ca="1">IFERROR(VLOOKUP('Data Entry Form'!$BK28,tblData[],COLUMN(INDIRECT("tblData[[SubType1]]")),0),"")</f>
        <v/>
      </c>
      <c r="I26" s="507"/>
    </row>
    <row r="27" spans="1:9" ht="15.95" customHeight="1">
      <c r="A27" s="222">
        <f t="shared" si="0"/>
        <v>16</v>
      </c>
      <c r="B27" s="223" t="str">
        <f ca="1">IFERROR(IF(VLOOKUP('Data Entry Form'!$BK29,tblData[],COLUMN(INDIRECT("tblData[[Gender]]")),0)="MALE","Mr","Ms"),"")</f>
        <v/>
      </c>
      <c r="C27" s="505" t="str">
        <f ca="1">IFERROR(VLOOKUP('Data Entry Form'!$BK29,tblData[],COLUMN(INDIRECT("tblData[[Surname]]")),0),"")</f>
        <v/>
      </c>
      <c r="D27" s="505"/>
      <c r="E27" s="505" t="str">
        <f ca="1">IFERROR(VLOOKUP('Data Entry Form'!$BK29,tblData[],COLUMN(INDIRECT("tblData[[Given Name]]")),0),"")</f>
        <v/>
      </c>
      <c r="F27" s="505"/>
      <c r="G27" s="505"/>
      <c r="H27" s="505" t="str">
        <f ca="1">IFERROR(VLOOKUP('Data Entry Form'!$BK29,tblData[],COLUMN(INDIRECT("tblData[[SubType1]]")),0),"")</f>
        <v/>
      </c>
      <c r="I27" s="507"/>
    </row>
    <row r="28" spans="1:9" ht="15.95" customHeight="1">
      <c r="A28" s="222">
        <f t="shared" si="0"/>
        <v>17</v>
      </c>
      <c r="B28" s="223" t="str">
        <f ca="1">IFERROR(IF(VLOOKUP('Data Entry Form'!$BK30,tblData[],COLUMN(INDIRECT("tblData[[Gender]]")),0)="MALE","Mr","Ms"),"")</f>
        <v/>
      </c>
      <c r="C28" s="505" t="str">
        <f ca="1">IFERROR(VLOOKUP('Data Entry Form'!$BK30,tblData[],COLUMN(INDIRECT("tblData[[Surname]]")),0),"")</f>
        <v/>
      </c>
      <c r="D28" s="505"/>
      <c r="E28" s="505" t="str">
        <f ca="1">IFERROR(VLOOKUP('Data Entry Form'!$BK30,tblData[],COLUMN(INDIRECT("tblData[[Given Name]]")),0),"")</f>
        <v/>
      </c>
      <c r="F28" s="505"/>
      <c r="G28" s="505"/>
      <c r="H28" s="505" t="str">
        <f ca="1">IFERROR(VLOOKUP('Data Entry Form'!$BK30,tblData[],COLUMN(INDIRECT("tblData[[SubType1]]")),0),"")</f>
        <v/>
      </c>
      <c r="I28" s="507"/>
    </row>
    <row r="29" spans="1:9" ht="15.95" customHeight="1">
      <c r="A29" s="222">
        <f t="shared" si="0"/>
        <v>18</v>
      </c>
      <c r="B29" s="223" t="str">
        <f ca="1">IFERROR(IF(VLOOKUP('Data Entry Form'!$BK31,tblData[],COLUMN(INDIRECT("tblData[[Gender]]")),0)="MALE","Mr","Ms"),"")</f>
        <v/>
      </c>
      <c r="C29" s="505" t="str">
        <f ca="1">IFERROR(VLOOKUP('Data Entry Form'!$BK31,tblData[],COLUMN(INDIRECT("tblData[[Surname]]")),0),"")</f>
        <v/>
      </c>
      <c r="D29" s="505"/>
      <c r="E29" s="505" t="str">
        <f ca="1">IFERROR(VLOOKUP('Data Entry Form'!$BK31,tblData[],COLUMN(INDIRECT("tblData[[Given Name]]")),0),"")</f>
        <v/>
      </c>
      <c r="F29" s="505"/>
      <c r="G29" s="505"/>
      <c r="H29" s="505" t="str">
        <f ca="1">IFERROR(VLOOKUP('Data Entry Form'!$BK31,tblData[],COLUMN(INDIRECT("tblData[[SubType1]]")),0),"")</f>
        <v/>
      </c>
      <c r="I29" s="507"/>
    </row>
    <row r="30" spans="1:9" ht="15.95" customHeight="1">
      <c r="A30" s="222">
        <f t="shared" si="0"/>
        <v>19</v>
      </c>
      <c r="B30" s="223" t="str">
        <f ca="1">IFERROR(IF(VLOOKUP('Data Entry Form'!$BK32,tblData[],COLUMN(INDIRECT("tblData[[Gender]]")),0)="MALE","Mr","Ms"),"")</f>
        <v/>
      </c>
      <c r="C30" s="505" t="str">
        <f ca="1">IFERROR(VLOOKUP('Data Entry Form'!$BK32,tblData[],COLUMN(INDIRECT("tblData[[Surname]]")),0),"")</f>
        <v/>
      </c>
      <c r="D30" s="505"/>
      <c r="E30" s="505" t="str">
        <f ca="1">IFERROR(VLOOKUP('Data Entry Form'!$BK32,tblData[],COLUMN(INDIRECT("tblData[[Given Name]]")),0),"")</f>
        <v/>
      </c>
      <c r="F30" s="505"/>
      <c r="G30" s="505"/>
      <c r="H30" s="505" t="str">
        <f ca="1">IFERROR(VLOOKUP('Data Entry Form'!$BK32,tblData[],COLUMN(INDIRECT("tblData[[SubType1]]")),0),"")</f>
        <v/>
      </c>
      <c r="I30" s="507"/>
    </row>
    <row r="31" spans="1:9" ht="15.95" customHeight="1">
      <c r="A31" s="222">
        <f t="shared" si="0"/>
        <v>20</v>
      </c>
      <c r="B31" s="223" t="str">
        <f ca="1">IFERROR(IF(VLOOKUP('Data Entry Form'!$BK33,tblData[],COLUMN(INDIRECT("tblData[[Gender]]")),0)="MALE","Mr","Ms"),"")</f>
        <v/>
      </c>
      <c r="C31" s="505" t="str">
        <f ca="1">IFERROR(VLOOKUP('Data Entry Form'!$BK33,tblData[],COLUMN(INDIRECT("tblData[[Surname]]")),0),"")</f>
        <v/>
      </c>
      <c r="D31" s="505"/>
      <c r="E31" s="505" t="str">
        <f ca="1">IFERROR(VLOOKUP('Data Entry Form'!$BK33,tblData[],COLUMN(INDIRECT("tblData[[Given Name]]")),0),"")</f>
        <v/>
      </c>
      <c r="F31" s="505"/>
      <c r="G31" s="505"/>
      <c r="H31" s="505" t="str">
        <f ca="1">IFERROR(VLOOKUP('Data Entry Form'!$BK33,tblData[],COLUMN(INDIRECT("tblData[[SubType1]]")),0),"")</f>
        <v/>
      </c>
      <c r="I31" s="507"/>
    </row>
    <row r="32" spans="1:9" ht="15.95" customHeight="1">
      <c r="A32" s="222">
        <f t="shared" si="0"/>
        <v>21</v>
      </c>
      <c r="B32" s="223" t="str">
        <f ca="1">IFERROR(IF(VLOOKUP('Data Entry Form'!$BK34,tblData[],COLUMN(INDIRECT("tblData[[Gender]]")),0)="MALE","Mr","Ms"),"")</f>
        <v/>
      </c>
      <c r="C32" s="505" t="str">
        <f ca="1">IFERROR(VLOOKUP('Data Entry Form'!$BK34,tblData[],COLUMN(INDIRECT("tblData[[Surname]]")),0),"")</f>
        <v/>
      </c>
      <c r="D32" s="505"/>
      <c r="E32" s="505" t="str">
        <f ca="1">IFERROR(VLOOKUP('Data Entry Form'!$BK34,tblData[],COLUMN(INDIRECT("tblData[[Given Name]]")),0),"")</f>
        <v/>
      </c>
      <c r="F32" s="505"/>
      <c r="G32" s="505"/>
      <c r="H32" s="505" t="str">
        <f ca="1">IFERROR(VLOOKUP('Data Entry Form'!$BK34,tblData[],COLUMN(INDIRECT("tblData[[SubType1]]")),0),"")</f>
        <v/>
      </c>
      <c r="I32" s="507"/>
    </row>
    <row r="33" spans="1:9" ht="15.95" customHeight="1">
      <c r="A33" s="222">
        <f t="shared" si="0"/>
        <v>22</v>
      </c>
      <c r="B33" s="223" t="str">
        <f ca="1">IFERROR(IF(VLOOKUP('Data Entry Form'!$BK35,tblData[],COLUMN(INDIRECT("tblData[[Gender]]")),0)="MALE","Mr","Ms"),"")</f>
        <v/>
      </c>
      <c r="C33" s="505" t="str">
        <f ca="1">IFERROR(VLOOKUP('Data Entry Form'!$BK35,tblData[],COLUMN(INDIRECT("tblData[[Surname]]")),0),"")</f>
        <v/>
      </c>
      <c r="D33" s="505"/>
      <c r="E33" s="505" t="str">
        <f ca="1">IFERROR(VLOOKUP('Data Entry Form'!$BK35,tblData[],COLUMN(INDIRECT("tblData[[Given Name]]")),0),"")</f>
        <v/>
      </c>
      <c r="F33" s="505"/>
      <c r="G33" s="505"/>
      <c r="H33" s="505" t="str">
        <f ca="1">IFERROR(VLOOKUP('Data Entry Form'!$BK35,tblData[],COLUMN(INDIRECT("tblData[[SubType1]]")),0),"")</f>
        <v/>
      </c>
      <c r="I33" s="507"/>
    </row>
    <row r="34" spans="1:9" ht="15.95" customHeight="1">
      <c r="A34" s="222">
        <f t="shared" si="0"/>
        <v>23</v>
      </c>
      <c r="B34" s="223" t="str">
        <f ca="1">IFERROR(IF(VLOOKUP('Data Entry Form'!$BK36,tblData[],COLUMN(INDIRECT("tblData[[Gender]]")),0)="MALE","Mr","Ms"),"")</f>
        <v/>
      </c>
      <c r="C34" s="505" t="str">
        <f ca="1">IFERROR(VLOOKUP('Data Entry Form'!$BK36,tblData[],COLUMN(INDIRECT("tblData[[Surname]]")),0),"")</f>
        <v/>
      </c>
      <c r="D34" s="505"/>
      <c r="E34" s="505" t="str">
        <f ca="1">IFERROR(VLOOKUP('Data Entry Form'!$BK36,tblData[],COLUMN(INDIRECT("tblData[[Given Name]]")),0),"")</f>
        <v/>
      </c>
      <c r="F34" s="505"/>
      <c r="G34" s="505"/>
      <c r="H34" s="505" t="str">
        <f ca="1">IFERROR(VLOOKUP('Data Entry Form'!$BK36,tblData[],COLUMN(INDIRECT("tblData[[SubType1]]")),0),"")</f>
        <v/>
      </c>
      <c r="I34" s="507"/>
    </row>
    <row r="35" spans="1:9" ht="15.95" customHeight="1">
      <c r="A35" s="222">
        <f t="shared" si="0"/>
        <v>24</v>
      </c>
      <c r="B35" s="223" t="str">
        <f ca="1">IFERROR(IF(VLOOKUP('Data Entry Form'!$BK37,tblData[],COLUMN(INDIRECT("tblData[[Gender]]")),0)="MALE","Mr","Ms"),"")</f>
        <v/>
      </c>
      <c r="C35" s="505" t="str">
        <f ca="1">IFERROR(VLOOKUP('Data Entry Form'!$BK37,tblData[],COLUMN(INDIRECT("tblData[[Surname]]")),0),"")</f>
        <v/>
      </c>
      <c r="D35" s="505"/>
      <c r="E35" s="505" t="str">
        <f ca="1">IFERROR(VLOOKUP('Data Entry Form'!$BK37,tblData[],COLUMN(INDIRECT("tblData[[Given Name]]")),0),"")</f>
        <v/>
      </c>
      <c r="F35" s="505"/>
      <c r="G35" s="505"/>
      <c r="H35" s="505" t="str">
        <f ca="1">IFERROR(VLOOKUP('Data Entry Form'!$BK37,tblData[],COLUMN(INDIRECT("tblData[[SubType1]]")),0),"")</f>
        <v/>
      </c>
      <c r="I35" s="507"/>
    </row>
    <row r="36" spans="1:9" ht="15.95" customHeight="1">
      <c r="A36" s="222">
        <f t="shared" si="0"/>
        <v>25</v>
      </c>
      <c r="B36" s="223" t="str">
        <f ca="1">IFERROR(IF(VLOOKUP('Data Entry Form'!$BK38,tblData[],COLUMN(INDIRECT("tblData[[Gender]]")),0)="MALE","Mr","Ms"),"")</f>
        <v/>
      </c>
      <c r="C36" s="505" t="str">
        <f ca="1">IFERROR(VLOOKUP('Data Entry Form'!$BK38,tblData[],COLUMN(INDIRECT("tblData[[Surname]]")),0),"")</f>
        <v/>
      </c>
      <c r="D36" s="505"/>
      <c r="E36" s="505" t="str">
        <f ca="1">IFERROR(VLOOKUP('Data Entry Form'!$BK38,tblData[],COLUMN(INDIRECT("tblData[[Given Name]]")),0),"")</f>
        <v/>
      </c>
      <c r="F36" s="505"/>
      <c r="G36" s="505"/>
      <c r="H36" s="505" t="str">
        <f ca="1">IFERROR(VLOOKUP('Data Entry Form'!$BK38,tblData[],COLUMN(INDIRECT("tblData[[SubType1]]")),0),"")</f>
        <v/>
      </c>
      <c r="I36" s="507"/>
    </row>
    <row r="37" spans="1:9" ht="15.95" customHeight="1">
      <c r="A37" s="222">
        <f t="shared" si="0"/>
        <v>26</v>
      </c>
      <c r="B37" s="223" t="str">
        <f ca="1">IFERROR(IF(VLOOKUP('Data Entry Form'!$BK39,tblData[],COLUMN(INDIRECT("tblData[[Gender]]")),0)="MALE","Mr","Ms"),"")</f>
        <v/>
      </c>
      <c r="C37" s="505" t="str">
        <f ca="1">IFERROR(VLOOKUP('Data Entry Form'!$BK39,tblData[],COLUMN(INDIRECT("tblData[[Surname]]")),0),"")</f>
        <v/>
      </c>
      <c r="D37" s="505"/>
      <c r="E37" s="505" t="str">
        <f ca="1">IFERROR(VLOOKUP('Data Entry Form'!$BK39,tblData[],COLUMN(INDIRECT("tblData[[Given Name]]")),0),"")</f>
        <v/>
      </c>
      <c r="F37" s="505"/>
      <c r="G37" s="505"/>
      <c r="H37" s="505" t="str">
        <f ca="1">IFERROR(VLOOKUP('Data Entry Form'!$BK39,tblData[],COLUMN(INDIRECT("tblData[[SubType1]]")),0),"")</f>
        <v/>
      </c>
      <c r="I37" s="507"/>
    </row>
    <row r="38" spans="1:9" ht="15.95" customHeight="1">
      <c r="A38" s="222">
        <f t="shared" si="0"/>
        <v>27</v>
      </c>
      <c r="B38" s="223" t="str">
        <f ca="1">IFERROR(IF(VLOOKUP('Data Entry Form'!$BK40,tblData[],COLUMN(INDIRECT("tblData[[Gender]]")),0)="MALE","Mr","Ms"),"")</f>
        <v/>
      </c>
      <c r="C38" s="505" t="str">
        <f ca="1">IFERROR(VLOOKUP('Data Entry Form'!$BK40,tblData[],COLUMN(INDIRECT("tblData[[Surname]]")),0),"")</f>
        <v/>
      </c>
      <c r="D38" s="505"/>
      <c r="E38" s="505" t="str">
        <f ca="1">IFERROR(VLOOKUP('Data Entry Form'!$BK40,tblData[],COLUMN(INDIRECT("tblData[[Given Name]]")),0),"")</f>
        <v/>
      </c>
      <c r="F38" s="505"/>
      <c r="G38" s="505"/>
      <c r="H38" s="505" t="str">
        <f ca="1">IFERROR(VLOOKUP('Data Entry Form'!$BK40,tblData[],COLUMN(INDIRECT("tblData[[SubType1]]")),0),"")</f>
        <v/>
      </c>
      <c r="I38" s="507"/>
    </row>
    <row r="39" spans="1:9" ht="15.95" customHeight="1">
      <c r="A39" s="222">
        <f t="shared" si="0"/>
        <v>28</v>
      </c>
      <c r="B39" s="223" t="str">
        <f ca="1">IFERROR(IF(VLOOKUP('Data Entry Form'!$BK41,tblData[],COLUMN(INDIRECT("tblData[[Gender]]")),0)="MALE","Mr","Ms"),"")</f>
        <v/>
      </c>
      <c r="C39" s="505" t="str">
        <f ca="1">IFERROR(VLOOKUP('Data Entry Form'!$BK41,tblData[],COLUMN(INDIRECT("tblData[[Surname]]")),0),"")</f>
        <v/>
      </c>
      <c r="D39" s="505"/>
      <c r="E39" s="505" t="str">
        <f ca="1">IFERROR(VLOOKUP('Data Entry Form'!$BK41,tblData[],COLUMN(INDIRECT("tblData[[Given Name]]")),0),"")</f>
        <v/>
      </c>
      <c r="F39" s="505"/>
      <c r="G39" s="505"/>
      <c r="H39" s="505" t="str">
        <f ca="1">IFERROR(VLOOKUP('Data Entry Form'!$BK41,tblData[],COLUMN(INDIRECT("tblData[[SubType1]]")),0),"")</f>
        <v/>
      </c>
      <c r="I39" s="507"/>
    </row>
    <row r="40" spans="1:9" ht="15.95" customHeight="1">
      <c r="A40" s="222">
        <f t="shared" si="0"/>
        <v>29</v>
      </c>
      <c r="B40" s="223" t="str">
        <f ca="1">IFERROR(IF(VLOOKUP('Data Entry Form'!$BK42,tblData[],COLUMN(INDIRECT("tblData[[Gender]]")),0)="MALE","Mr","Ms"),"")</f>
        <v/>
      </c>
      <c r="C40" s="505" t="str">
        <f ca="1">IFERROR(VLOOKUP('Data Entry Form'!$BK42,tblData[],COLUMN(INDIRECT("tblData[[Surname]]")),0),"")</f>
        <v/>
      </c>
      <c r="D40" s="505"/>
      <c r="E40" s="505" t="str">
        <f ca="1">IFERROR(VLOOKUP('Data Entry Form'!$BK42,tblData[],COLUMN(INDIRECT("tblData[[Given Name]]")),0),"")</f>
        <v/>
      </c>
      <c r="F40" s="505"/>
      <c r="G40" s="505"/>
      <c r="H40" s="505" t="str">
        <f ca="1">IFERROR(VLOOKUP('Data Entry Form'!$BK42,tblData[],COLUMN(INDIRECT("tblData[[SubType1]]")),0),"")</f>
        <v/>
      </c>
      <c r="I40" s="507"/>
    </row>
    <row r="41" spans="1:9" ht="15.95" customHeight="1">
      <c r="A41" s="222">
        <f t="shared" ref="A41:A46" si="1">A40+1</f>
        <v>30</v>
      </c>
      <c r="B41" s="223" t="str">
        <f ca="1">IFERROR(IF(VLOOKUP('Data Entry Form'!$BK43,tblData[],COLUMN(INDIRECT("tblData[[Gender]]")),0)="MALE","Mr","Ms"),"")</f>
        <v/>
      </c>
      <c r="C41" s="505" t="str">
        <f ca="1">IFERROR(VLOOKUP('Data Entry Form'!$BK43,tblData[],COLUMN(INDIRECT("tblData[[Surname]]")),0),"")</f>
        <v/>
      </c>
      <c r="D41" s="505"/>
      <c r="E41" s="505" t="str">
        <f ca="1">IFERROR(VLOOKUP('Data Entry Form'!$BK43,tblData[],COLUMN(INDIRECT("tblData[[Given Name]]")),0),"")</f>
        <v/>
      </c>
      <c r="F41" s="505"/>
      <c r="G41" s="505"/>
      <c r="H41" s="505" t="str">
        <f ca="1">IFERROR(VLOOKUP('Data Entry Form'!$BK43,tblData[],COLUMN(INDIRECT("tblData[[SubType1]]")),0),"")</f>
        <v/>
      </c>
      <c r="I41" s="507"/>
    </row>
    <row r="42" spans="1:9" ht="15.95" customHeight="1">
      <c r="A42" s="222">
        <f t="shared" si="1"/>
        <v>31</v>
      </c>
      <c r="B42" s="223" t="str">
        <f ca="1">IFERROR(IF(VLOOKUP('Data Entry Form'!$BK44,tblData[],COLUMN(INDIRECT("tblData[[Gender]]")),0)="MALE","Mr","Ms"),"")</f>
        <v/>
      </c>
      <c r="C42" s="505" t="str">
        <f ca="1">IFERROR(VLOOKUP('Data Entry Form'!$BK44,tblData[],COLUMN(INDIRECT("tblData[[Surname]]")),0),"")</f>
        <v/>
      </c>
      <c r="D42" s="505"/>
      <c r="E42" s="505" t="str">
        <f ca="1">IFERROR(VLOOKUP('Data Entry Form'!$BK44,tblData[],COLUMN(INDIRECT("tblData[[Given Name]]")),0),"")</f>
        <v/>
      </c>
      <c r="F42" s="505"/>
      <c r="G42" s="505"/>
      <c r="H42" s="505" t="str">
        <f ca="1">IFERROR(VLOOKUP('Data Entry Form'!$BK44,tblData[],COLUMN(INDIRECT("tblData[[SubType1]]")),0),"")</f>
        <v/>
      </c>
      <c r="I42" s="507"/>
    </row>
    <row r="43" spans="1:9" ht="15.95" customHeight="1">
      <c r="A43" s="222">
        <f t="shared" si="1"/>
        <v>32</v>
      </c>
      <c r="B43" s="223" t="str">
        <f ca="1">IFERROR(IF(VLOOKUP('Data Entry Form'!$BK45,tblData[],COLUMN(INDIRECT("tblData[[Gender]]")),0)="MALE","Mr","Ms"),"")</f>
        <v/>
      </c>
      <c r="C43" s="505" t="str">
        <f ca="1">IFERROR(VLOOKUP('Data Entry Form'!$BK45,tblData[],COLUMN(INDIRECT("tblData[[Surname]]")),0),"")</f>
        <v/>
      </c>
      <c r="D43" s="505"/>
      <c r="E43" s="505" t="str">
        <f ca="1">IFERROR(VLOOKUP('Data Entry Form'!$BK45,tblData[],COLUMN(INDIRECT("tblData[[Given Name]]")),0),"")</f>
        <v/>
      </c>
      <c r="F43" s="505"/>
      <c r="G43" s="505"/>
      <c r="H43" s="505" t="str">
        <f ca="1">IFERROR(VLOOKUP('Data Entry Form'!$BK45,tblData[],COLUMN(INDIRECT("tblData[[SubType1]]")),0),"")</f>
        <v/>
      </c>
      <c r="I43" s="507"/>
    </row>
    <row r="44" spans="1:9" ht="15.95" customHeight="1">
      <c r="A44" s="222">
        <f t="shared" si="1"/>
        <v>33</v>
      </c>
      <c r="B44" s="223" t="str">
        <f ca="1">IFERROR(IF(VLOOKUP('Data Entry Form'!$BK46,tblData[],COLUMN(INDIRECT("tblData[[Gender]]")),0)="MALE","Mr","Ms"),"")</f>
        <v/>
      </c>
      <c r="C44" s="505" t="str">
        <f ca="1">IFERROR(VLOOKUP('Data Entry Form'!$BK46,tblData[],COLUMN(INDIRECT("tblData[[Surname]]")),0),"")</f>
        <v/>
      </c>
      <c r="D44" s="505"/>
      <c r="E44" s="505" t="str">
        <f ca="1">IFERROR(VLOOKUP('Data Entry Form'!$BK46,tblData[],COLUMN(INDIRECT("tblData[[Given Name]]")),0),"")</f>
        <v/>
      </c>
      <c r="F44" s="505"/>
      <c r="G44" s="505"/>
      <c r="H44" s="505" t="str">
        <f ca="1">IFERROR(VLOOKUP('Data Entry Form'!$BK46,tblData[],COLUMN(INDIRECT("tblData[[SubType1]]")),0),"")</f>
        <v/>
      </c>
      <c r="I44" s="507"/>
    </row>
    <row r="45" spans="1:9" ht="15.95" customHeight="1">
      <c r="A45" s="222">
        <f t="shared" si="1"/>
        <v>34</v>
      </c>
      <c r="B45" s="223" t="str">
        <f ca="1">IFERROR(IF(VLOOKUP('Data Entry Form'!$BK47,tblData[],COLUMN(INDIRECT("tblData[[Gender]]")),0)="MALE","Mr","Ms"),"")</f>
        <v/>
      </c>
      <c r="C45" s="505" t="str">
        <f ca="1">IFERROR(VLOOKUP('Data Entry Form'!$BK47,tblData[],COLUMN(INDIRECT("tblData[[Surname]]")),0),"")</f>
        <v/>
      </c>
      <c r="D45" s="505"/>
      <c r="E45" s="505" t="str">
        <f ca="1">IFERROR(VLOOKUP('Data Entry Form'!$BK47,tblData[],COLUMN(INDIRECT("tblData[[Given Name]]")),0),"")</f>
        <v/>
      </c>
      <c r="F45" s="505"/>
      <c r="G45" s="505"/>
      <c r="H45" s="505" t="str">
        <f ca="1">IFERROR(VLOOKUP('Data Entry Form'!$BK47,tblData[],COLUMN(INDIRECT("tblData[[SubType1]]")),0),"")</f>
        <v/>
      </c>
      <c r="I45" s="507"/>
    </row>
    <row r="46" spans="1:9" ht="15.95" customHeight="1" thickBot="1">
      <c r="A46" s="224">
        <f t="shared" si="1"/>
        <v>35</v>
      </c>
      <c r="B46" s="225" t="str">
        <f ca="1">IFERROR(IF(VLOOKUP('Data Entry Form'!$BK48,tblData[],COLUMN(INDIRECT("tblData[[Gender]]")),0)="MALE","Mr","Ms"),"")</f>
        <v/>
      </c>
      <c r="C46" s="506" t="str">
        <f ca="1">IFERROR(VLOOKUP('Data Entry Form'!$BK48,tblData[],COLUMN(INDIRECT("tblData[[Surname]]")),0),"")</f>
        <v/>
      </c>
      <c r="D46" s="506"/>
      <c r="E46" s="506" t="str">
        <f ca="1">IFERROR(VLOOKUP('Data Entry Form'!$BK48,tblData[],COLUMN(INDIRECT("tblData[[Given Name]]")),0),"")</f>
        <v/>
      </c>
      <c r="F46" s="506"/>
      <c r="G46" s="506"/>
      <c r="H46" s="506" t="str">
        <f ca="1">IFERROR(VLOOKUP('Data Entry Form'!$BK48,tblData[],COLUMN(INDIRECT("tblData[[SubType1]]")),0),"")</f>
        <v/>
      </c>
      <c r="I46" s="508"/>
    </row>
  </sheetData>
  <sheetProtection password="E8E9" sheet="1" objects="1" scenarios="1"/>
  <mergeCells count="118">
    <mergeCell ref="H13:I13"/>
    <mergeCell ref="E12:G12"/>
    <mergeCell ref="E13:G13"/>
    <mergeCell ref="E14:G14"/>
    <mergeCell ref="E15:G15"/>
    <mergeCell ref="E11:G11"/>
    <mergeCell ref="H11:I11"/>
    <mergeCell ref="A9:C9"/>
    <mergeCell ref="A4:I4"/>
    <mergeCell ref="A5:I5"/>
    <mergeCell ref="A7:C7"/>
    <mergeCell ref="A8:C8"/>
    <mergeCell ref="D7:I7"/>
    <mergeCell ref="E27:G27"/>
    <mergeCell ref="H27:I27"/>
    <mergeCell ref="E28:G28"/>
    <mergeCell ref="H28:I28"/>
    <mergeCell ref="C27:D27"/>
    <mergeCell ref="C28:D28"/>
    <mergeCell ref="E23:G23"/>
    <mergeCell ref="H23:I23"/>
    <mergeCell ref="E26:G26"/>
    <mergeCell ref="H26:I26"/>
    <mergeCell ref="E25:G25"/>
    <mergeCell ref="H25:I25"/>
    <mergeCell ref="C25:D25"/>
    <mergeCell ref="C26:D26"/>
    <mergeCell ref="E31:G31"/>
    <mergeCell ref="H31:I31"/>
    <mergeCell ref="E29:G29"/>
    <mergeCell ref="H29:I29"/>
    <mergeCell ref="E30:G30"/>
    <mergeCell ref="H30:I30"/>
    <mergeCell ref="C29:D29"/>
    <mergeCell ref="C30:D30"/>
    <mergeCell ref="C31:D31"/>
    <mergeCell ref="E18:G18"/>
    <mergeCell ref="H18:I18"/>
    <mergeCell ref="E19:G19"/>
    <mergeCell ref="H19:I19"/>
    <mergeCell ref="C18:D18"/>
    <mergeCell ref="C19:D19"/>
    <mergeCell ref="A1:I1"/>
    <mergeCell ref="A2:I2"/>
    <mergeCell ref="E17:G17"/>
    <mergeCell ref="H17:I17"/>
    <mergeCell ref="C11:D11"/>
    <mergeCell ref="C12:D12"/>
    <mergeCell ref="C13:D13"/>
    <mergeCell ref="C14:D14"/>
    <mergeCell ref="C15:D15"/>
    <mergeCell ref="C16:D16"/>
    <mergeCell ref="C17:D17"/>
    <mergeCell ref="F9:I9"/>
    <mergeCell ref="F8:I8"/>
    <mergeCell ref="H16:I16"/>
    <mergeCell ref="E16:G16"/>
    <mergeCell ref="H14:I14"/>
    <mergeCell ref="H15:I15"/>
    <mergeCell ref="H12:I12"/>
    <mergeCell ref="E20:G20"/>
    <mergeCell ref="H20:I20"/>
    <mergeCell ref="E24:G24"/>
    <mergeCell ref="H24:I24"/>
    <mergeCell ref="C20:D20"/>
    <mergeCell ref="C21:D21"/>
    <mergeCell ref="C22:D22"/>
    <mergeCell ref="C23:D23"/>
    <mergeCell ref="C24:D24"/>
    <mergeCell ref="E21:G21"/>
    <mergeCell ref="H21:I21"/>
    <mergeCell ref="E22:G22"/>
    <mergeCell ref="H22:I22"/>
    <mergeCell ref="E34:G34"/>
    <mergeCell ref="H34:I34"/>
    <mergeCell ref="E35:G35"/>
    <mergeCell ref="H35:I35"/>
    <mergeCell ref="C34:D34"/>
    <mergeCell ref="C35:D35"/>
    <mergeCell ref="E32:G32"/>
    <mergeCell ref="H32:I32"/>
    <mergeCell ref="E33:G33"/>
    <mergeCell ref="H33:I33"/>
    <mergeCell ref="C32:D32"/>
    <mergeCell ref="C33:D33"/>
    <mergeCell ref="E38:G38"/>
    <mergeCell ref="H38:I38"/>
    <mergeCell ref="E39:G39"/>
    <mergeCell ref="H39:I39"/>
    <mergeCell ref="C38:D38"/>
    <mergeCell ref="C39:D39"/>
    <mergeCell ref="E36:G36"/>
    <mergeCell ref="H36:I36"/>
    <mergeCell ref="E37:G37"/>
    <mergeCell ref="H37:I37"/>
    <mergeCell ref="C36:D36"/>
    <mergeCell ref="C37:D37"/>
    <mergeCell ref="C42:D42"/>
    <mergeCell ref="C43:D43"/>
    <mergeCell ref="C44:D44"/>
    <mergeCell ref="C45:D45"/>
    <mergeCell ref="C46:D46"/>
    <mergeCell ref="E40:G40"/>
    <mergeCell ref="H40:I40"/>
    <mergeCell ref="E41:G41"/>
    <mergeCell ref="H41:I41"/>
    <mergeCell ref="C40:D40"/>
    <mergeCell ref="C41:D41"/>
    <mergeCell ref="H42:I42"/>
    <mergeCell ref="H43:I43"/>
    <mergeCell ref="H44:I44"/>
    <mergeCell ref="H45:I45"/>
    <mergeCell ref="H46:I46"/>
    <mergeCell ref="E42:G42"/>
    <mergeCell ref="E43:G43"/>
    <mergeCell ref="E44:G44"/>
    <mergeCell ref="E45:G45"/>
    <mergeCell ref="E46:G46"/>
  </mergeCells>
  <phoneticPr fontId="8" type="noConversion"/>
  <printOptions horizontalCentered="1"/>
  <pageMargins left="0.79000000000000015" right="0.39000000000000007" top="0.39000000000000007" bottom="0.59" header="0.2" footer="0.2"/>
  <pageSetup paperSize="9" orientation="portrait" r:id="rId1"/>
  <ignoredErrors>
    <ignoredError sqref="I12" unlockedFormula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Tabelle4">
    <tabColor rgb="FF145A99"/>
    <pageSetUpPr fitToPage="1"/>
  </sheetPr>
  <dimension ref="A1:J49"/>
  <sheetViews>
    <sheetView showGridLines="0" showRowColHeaders="0" workbookViewId="0">
      <selection activeCell="D7" sqref="D7:J7"/>
    </sheetView>
  </sheetViews>
  <sheetFormatPr baseColWidth="10" defaultColWidth="10.875" defaultRowHeight="12.75"/>
  <cols>
    <col min="1" max="1" width="3.5" style="96" customWidth="1"/>
    <col min="2" max="2" width="7.125" style="96" customWidth="1"/>
    <col min="3" max="3" width="10.125" style="96" customWidth="1"/>
    <col min="4" max="4" width="7.875" style="96" customWidth="1"/>
    <col min="5" max="5" width="9" style="96" customWidth="1"/>
    <col min="6" max="6" width="6.5" style="96" customWidth="1"/>
    <col min="7" max="7" width="10" style="96" customWidth="1"/>
    <col min="8" max="8" width="9" style="96" customWidth="1"/>
    <col min="9" max="9" width="10.875" style="96" customWidth="1"/>
    <col min="10" max="10" width="11" style="96" customWidth="1"/>
    <col min="11" max="11" width="9.125" style="96" customWidth="1"/>
    <col min="12" max="16384" width="10.875" style="96"/>
  </cols>
  <sheetData>
    <row r="1" spans="1:10" ht="26.25">
      <c r="A1" s="499" t="str">
        <f>Header1</f>
        <v>JUNIOR EUROPEAN JUDO CUP</v>
      </c>
      <c r="B1" s="499"/>
      <c r="C1" s="499"/>
      <c r="D1" s="499"/>
      <c r="E1" s="499"/>
      <c r="F1" s="499"/>
      <c r="G1" s="499"/>
      <c r="H1" s="499"/>
      <c r="I1" s="499"/>
      <c r="J1" s="499"/>
    </row>
    <row r="2" spans="1:10" ht="38.1" customHeight="1">
      <c r="A2" s="500" t="str">
        <f>Header2</f>
        <v>IJF WORLD JUNIOR TOUR, June, 02 and 03, 2018 
EJU JUNIOR TRAINING CAMP, June 04 to 06, 2018 (Leibnitz - Austria)</v>
      </c>
      <c r="B2" s="500"/>
      <c r="C2" s="500"/>
      <c r="D2" s="500"/>
      <c r="E2" s="500"/>
      <c r="F2" s="500"/>
      <c r="G2" s="500"/>
      <c r="H2" s="500"/>
      <c r="I2" s="500"/>
      <c r="J2" s="500"/>
    </row>
    <row r="3" spans="1:10" ht="8.1" customHeight="1"/>
    <row r="4" spans="1:10" ht="15.75">
      <c r="A4" s="515" t="s">
        <v>101</v>
      </c>
      <c r="B4" s="515"/>
      <c r="C4" s="515"/>
      <c r="D4" s="515"/>
      <c r="E4" s="515"/>
      <c r="F4" s="515"/>
      <c r="G4" s="515"/>
      <c r="H4" s="515"/>
      <c r="I4" s="515"/>
      <c r="J4" s="515"/>
    </row>
    <row r="5" spans="1:10" ht="15.75">
      <c r="A5" s="516" t="s">
        <v>159</v>
      </c>
      <c r="B5" s="515"/>
      <c r="C5" s="515"/>
      <c r="D5" s="515"/>
      <c r="E5" s="515"/>
      <c r="F5" s="515"/>
      <c r="G5" s="515"/>
      <c r="H5" s="515"/>
      <c r="I5" s="515"/>
      <c r="J5" s="515"/>
    </row>
    <row r="6" spans="1:10" ht="8.1" customHeight="1" thickBot="1"/>
    <row r="7" spans="1:10" ht="15.95" customHeight="1" thickBot="1">
      <c r="A7" s="525" t="s">
        <v>84</v>
      </c>
      <c r="B7" s="526"/>
      <c r="C7" s="526"/>
      <c r="D7" s="527" t="str">
        <f>IF(ISBLANK(Federation),"",Federation)</f>
        <v/>
      </c>
      <c r="E7" s="527"/>
      <c r="F7" s="527"/>
      <c r="G7" s="527"/>
      <c r="H7" s="527"/>
      <c r="I7" s="527"/>
      <c r="J7" s="528"/>
    </row>
    <row r="8" spans="1:10" ht="8.1" customHeight="1" thickBot="1"/>
    <row r="9" spans="1:10" ht="32.1" customHeight="1" thickBot="1">
      <c r="A9" s="237"/>
      <c r="B9" s="238" t="s">
        <v>108</v>
      </c>
      <c r="C9" s="529" t="s">
        <v>281</v>
      </c>
      <c r="D9" s="529"/>
      <c r="E9" s="529" t="s">
        <v>282</v>
      </c>
      <c r="F9" s="529"/>
      <c r="G9" s="238" t="s">
        <v>109</v>
      </c>
      <c r="H9" s="529" t="s">
        <v>110</v>
      </c>
      <c r="I9" s="529"/>
      <c r="J9" s="239" t="s">
        <v>111</v>
      </c>
    </row>
    <row r="10" spans="1:10" s="109" customFormat="1" ht="15" customHeight="1">
      <c r="A10" s="233">
        <v>1</v>
      </c>
      <c r="B10" s="234" t="str">
        <f ca="1">IFERROR(VLOOKUP('Data Entry Form'!$BO14,tblData[],COLUMN(INDIRECT("tblData[[SubType1]]")),0),"")</f>
        <v/>
      </c>
      <c r="C10" s="510" t="str">
        <f ca="1">IFERROR(VLOOKUP('Data Entry Form'!$BO14,tblData[],COLUMN(INDIRECT("tblData[[Surname]]")),0),"")</f>
        <v/>
      </c>
      <c r="D10" s="510"/>
      <c r="E10" s="510" t="str">
        <f ca="1">IFERROR(VLOOKUP('Data Entry Form'!$BO14,tblData[],COLUMN(INDIRECT("tblData[[Given name]]")),0),"")</f>
        <v/>
      </c>
      <c r="F10" s="510"/>
      <c r="G10" s="235" t="str">
        <f ca="1">IFERROR(IF(VLOOKUP('Data Entry Form'!$BO14,tblData[],COLUMN(INDIRECT("tblData[[Date of Birth]]")),0)=0,"",VLOOKUP('Data Entry Form'!$BO14,tblData[],COLUMN(INDIRECT("tblData[[Date of Birth]]")),0)),"")</f>
        <v/>
      </c>
      <c r="H10" s="530" t="str">
        <f ca="1">IFERROR(IF(VLOOKUP('Data Entry Form'!$BO14,tblData[],COLUMN(INDIRECT("tblData[[Best results]]")),0)=0,"",VLOOKUP('Data Entry Form'!$BO14,tblData[],COLUMN(INDIRECT("tblData[[Best results]]")),0)),"")</f>
        <v/>
      </c>
      <c r="I10" s="530"/>
      <c r="J10" s="236" t="str">
        <f ca="1">IFERROR(IF(VLOOKUP('Data Entry Form'!$BO14,tblData[],COLUMN(INDIRECT("tblData[[Training Camp]]")),0)=0,"NO",VLOOKUP('Data Entry Form'!$BO14,tblData[],COLUMN(INDIRECT("tblData[[Training Camp]]")),0)),"")</f>
        <v/>
      </c>
    </row>
    <row r="11" spans="1:10" s="109" customFormat="1" ht="15" customHeight="1">
      <c r="A11" s="222">
        <f>A10+1</f>
        <v>2</v>
      </c>
      <c r="B11" s="223" t="str">
        <f ca="1">IFERROR(VLOOKUP('Data Entry Form'!$BO15,tblData[],COLUMN(INDIRECT("tblData[[SubType1]]")),0),"")</f>
        <v/>
      </c>
      <c r="C11" s="505" t="str">
        <f ca="1">IFERROR(VLOOKUP('Data Entry Form'!$BO15,tblData[],COLUMN(INDIRECT("tblData[[Surname]]")),0),"")</f>
        <v/>
      </c>
      <c r="D11" s="505"/>
      <c r="E11" s="505" t="str">
        <f ca="1">IFERROR(VLOOKUP('Data Entry Form'!$BO15,tblData[],COLUMN(INDIRECT("tblData[[Given name]]")),0),"")</f>
        <v/>
      </c>
      <c r="F11" s="505"/>
      <c r="G11" s="229" t="str">
        <f ca="1">IFERROR(IF(VLOOKUP('Data Entry Form'!$BO15,tblData[],COLUMN(INDIRECT("tblData[[Date of Birth]]")),0)=0,"",VLOOKUP('Data Entry Form'!$BO15,tblData[],COLUMN(INDIRECT("tblData[[Date of Birth]]")),0)),"")</f>
        <v/>
      </c>
      <c r="H11" s="524" t="str">
        <f ca="1">IFERROR(IF(VLOOKUP('Data Entry Form'!$BO15,tblData[],COLUMN(INDIRECT("tblData[[Best results]]")),0)=0,"",VLOOKUP('Data Entry Form'!$BO15,tblData[],COLUMN(INDIRECT("tblData[[Best results]]")),0)),"")</f>
        <v/>
      </c>
      <c r="I11" s="524"/>
      <c r="J11" s="230" t="str">
        <f ca="1">IFERROR(IF(VLOOKUP('Data Entry Form'!$BO15,tblData[],COLUMN(INDIRECT("tblData[[Training Camp]]")),0)=0,"NO",VLOOKUP('Data Entry Form'!$BO15,tblData[],COLUMN(INDIRECT("tblData[[Training Camp]]")),0)),"")</f>
        <v/>
      </c>
    </row>
    <row r="12" spans="1:10" s="109" customFormat="1" ht="15" customHeight="1">
      <c r="A12" s="222">
        <f t="shared" ref="A12:A49" si="0">A11+1</f>
        <v>3</v>
      </c>
      <c r="B12" s="223" t="str">
        <f ca="1">IFERROR(VLOOKUP('Data Entry Form'!$BO16,tblData[],COLUMN(INDIRECT("tblData[[SubType1]]")),0),"")</f>
        <v/>
      </c>
      <c r="C12" s="505" t="str">
        <f ca="1">IFERROR(VLOOKUP('Data Entry Form'!$BO16,tblData[],COLUMN(INDIRECT("tblData[[Surname]]")),0),"")</f>
        <v/>
      </c>
      <c r="D12" s="505"/>
      <c r="E12" s="505" t="str">
        <f ca="1">IFERROR(VLOOKUP('Data Entry Form'!$BO16,tblData[],COLUMN(INDIRECT("tblData[[Given name]]")),0),"")</f>
        <v/>
      </c>
      <c r="F12" s="505"/>
      <c r="G12" s="229" t="str">
        <f ca="1">IFERROR(IF(VLOOKUP('Data Entry Form'!$BO16,tblData[],COLUMN(INDIRECT("tblData[[Date of Birth]]")),0)=0,"",VLOOKUP('Data Entry Form'!$BO16,tblData[],COLUMN(INDIRECT("tblData[[Date of Birth]]")),0)),"")</f>
        <v/>
      </c>
      <c r="H12" s="524" t="str">
        <f ca="1">IFERROR(IF(VLOOKUP('Data Entry Form'!$BO16,tblData[],COLUMN(INDIRECT("tblData[[Best results]]")),0)=0,"",VLOOKUP('Data Entry Form'!$BO16,tblData[],COLUMN(INDIRECT("tblData[[Best results]]")),0)),"")</f>
        <v/>
      </c>
      <c r="I12" s="524"/>
      <c r="J12" s="230" t="str">
        <f ca="1">IFERROR(IF(VLOOKUP('Data Entry Form'!$BO16,tblData[],COLUMN(INDIRECT("tblData[[Training Camp]]")),0)=0,"NO",VLOOKUP('Data Entry Form'!$BO16,tblData[],COLUMN(INDIRECT("tblData[[Training Camp]]")),0)),"")</f>
        <v/>
      </c>
    </row>
    <row r="13" spans="1:10" s="109" customFormat="1" ht="15" customHeight="1">
      <c r="A13" s="222">
        <f t="shared" si="0"/>
        <v>4</v>
      </c>
      <c r="B13" s="223" t="str">
        <f ca="1">IFERROR(VLOOKUP('Data Entry Form'!$BO17,tblData[],COLUMN(INDIRECT("tblData[[SubType1]]")),0),"")</f>
        <v/>
      </c>
      <c r="C13" s="505" t="str">
        <f ca="1">IFERROR(VLOOKUP('Data Entry Form'!$BO17,tblData[],COLUMN(INDIRECT("tblData[[Surname]]")),0),"")</f>
        <v/>
      </c>
      <c r="D13" s="505"/>
      <c r="E13" s="505" t="str">
        <f ca="1">IFERROR(VLOOKUP('Data Entry Form'!$BO17,tblData[],COLUMN(INDIRECT("tblData[[Given name]]")),0),"")</f>
        <v/>
      </c>
      <c r="F13" s="505"/>
      <c r="G13" s="229" t="str">
        <f ca="1">IFERROR(IF(VLOOKUP('Data Entry Form'!$BO17,tblData[],COLUMN(INDIRECT("tblData[[Date of Birth]]")),0)=0,"",VLOOKUP('Data Entry Form'!$BO17,tblData[],COLUMN(INDIRECT("tblData[[Date of Birth]]")),0)),"")</f>
        <v/>
      </c>
      <c r="H13" s="524" t="str">
        <f ca="1">IFERROR(IF(VLOOKUP('Data Entry Form'!$BO17,tblData[],COLUMN(INDIRECT("tblData[[Best results]]")),0)=0,"",VLOOKUP('Data Entry Form'!$BO17,tblData[],COLUMN(INDIRECT("tblData[[Best results]]")),0)),"")</f>
        <v/>
      </c>
      <c r="I13" s="524"/>
      <c r="J13" s="230" t="str">
        <f ca="1">IFERROR(IF(VLOOKUP('Data Entry Form'!$BO17,tblData[],COLUMN(INDIRECT("tblData[[Training Camp]]")),0)=0,"NO",VLOOKUP('Data Entry Form'!$BO17,tblData[],COLUMN(INDIRECT("tblData[[Training Camp]]")),0)),"")</f>
        <v/>
      </c>
    </row>
    <row r="14" spans="1:10" s="109" customFormat="1" ht="15" customHeight="1">
      <c r="A14" s="222">
        <f t="shared" si="0"/>
        <v>5</v>
      </c>
      <c r="B14" s="223" t="str">
        <f ca="1">IFERROR(VLOOKUP('Data Entry Form'!$BO18,tblData[],COLUMN(INDIRECT("tblData[[SubType1]]")),0),"")</f>
        <v/>
      </c>
      <c r="C14" s="505" t="str">
        <f ca="1">IFERROR(VLOOKUP('Data Entry Form'!$BO18,tblData[],COLUMN(INDIRECT("tblData[[Surname]]")),0),"")</f>
        <v/>
      </c>
      <c r="D14" s="505"/>
      <c r="E14" s="505" t="str">
        <f ca="1">IFERROR(VLOOKUP('Data Entry Form'!$BO18,tblData[],COLUMN(INDIRECT("tblData[[Given name]]")),0),"")</f>
        <v/>
      </c>
      <c r="F14" s="505"/>
      <c r="G14" s="229" t="str">
        <f ca="1">IFERROR(IF(VLOOKUP('Data Entry Form'!$BO18,tblData[],COLUMN(INDIRECT("tblData[[Date of Birth]]")),0)=0,"",VLOOKUP('Data Entry Form'!$BO18,tblData[],COLUMN(INDIRECT("tblData[[Date of Birth]]")),0)),"")</f>
        <v/>
      </c>
      <c r="H14" s="524" t="str">
        <f ca="1">IFERROR(IF(VLOOKUP('Data Entry Form'!$BO18,tblData[],COLUMN(INDIRECT("tblData[[Best results]]")),0)=0,"",VLOOKUP('Data Entry Form'!$BO18,tblData[],COLUMN(INDIRECT("tblData[[Best results]]")),0)),"")</f>
        <v/>
      </c>
      <c r="I14" s="524"/>
      <c r="J14" s="230" t="str">
        <f ca="1">IFERROR(IF(VLOOKUP('Data Entry Form'!$BO18,tblData[],COLUMN(INDIRECT("tblData[[Training Camp]]")),0)=0,"NO",VLOOKUP('Data Entry Form'!$BO18,tblData[],COLUMN(INDIRECT("tblData[[Training Camp]]")),0)),"")</f>
        <v/>
      </c>
    </row>
    <row r="15" spans="1:10" s="109" customFormat="1" ht="15" customHeight="1">
      <c r="A15" s="222">
        <f t="shared" si="0"/>
        <v>6</v>
      </c>
      <c r="B15" s="223" t="str">
        <f ca="1">IFERROR(VLOOKUP('Data Entry Form'!$BO19,tblData[],COLUMN(INDIRECT("tblData[[SubType1]]")),0),"")</f>
        <v/>
      </c>
      <c r="C15" s="505" t="str">
        <f ca="1">IFERROR(VLOOKUP('Data Entry Form'!$BO19,tblData[],COLUMN(INDIRECT("tblData[[Surname]]")),0),"")</f>
        <v/>
      </c>
      <c r="D15" s="505"/>
      <c r="E15" s="505" t="str">
        <f ca="1">IFERROR(VLOOKUP('Data Entry Form'!$BO19,tblData[],COLUMN(INDIRECT("tblData[[Given name]]")),0),"")</f>
        <v/>
      </c>
      <c r="F15" s="505"/>
      <c r="G15" s="229" t="str">
        <f ca="1">IFERROR(IF(VLOOKUP('Data Entry Form'!$BO19,tblData[],COLUMN(INDIRECT("tblData[[Date of Birth]]")),0)=0,"",VLOOKUP('Data Entry Form'!$BO19,tblData[],COLUMN(INDIRECT("tblData[[Date of Birth]]")),0)),"")</f>
        <v/>
      </c>
      <c r="H15" s="524" t="str">
        <f ca="1">IFERROR(IF(VLOOKUP('Data Entry Form'!$BO19,tblData[],COLUMN(INDIRECT("tblData[[Best results]]")),0)=0,"",VLOOKUP('Data Entry Form'!$BO19,tblData[],COLUMN(INDIRECT("tblData[[Best results]]")),0)),"")</f>
        <v/>
      </c>
      <c r="I15" s="524"/>
      <c r="J15" s="230" t="str">
        <f ca="1">IFERROR(IF(VLOOKUP('Data Entry Form'!$BO19,tblData[],COLUMN(INDIRECT("tblData[[Training Camp]]")),0)=0,"NO",VLOOKUP('Data Entry Form'!$BO19,tblData[],COLUMN(INDIRECT("tblData[[Training Camp]]")),0)),"")</f>
        <v/>
      </c>
    </row>
    <row r="16" spans="1:10" s="109" customFormat="1" ht="15" customHeight="1">
      <c r="A16" s="222">
        <f t="shared" si="0"/>
        <v>7</v>
      </c>
      <c r="B16" s="223" t="str">
        <f ca="1">IFERROR(VLOOKUP('Data Entry Form'!$BO20,tblData[],COLUMN(INDIRECT("tblData[[SubType1]]")),0),"")</f>
        <v/>
      </c>
      <c r="C16" s="505" t="str">
        <f ca="1">IFERROR(VLOOKUP('Data Entry Form'!$BO20,tblData[],COLUMN(INDIRECT("tblData[[Surname]]")),0),"")</f>
        <v/>
      </c>
      <c r="D16" s="505"/>
      <c r="E16" s="505" t="str">
        <f ca="1">IFERROR(VLOOKUP('Data Entry Form'!$BO20,tblData[],COLUMN(INDIRECT("tblData[[Given name]]")),0),"")</f>
        <v/>
      </c>
      <c r="F16" s="505"/>
      <c r="G16" s="229" t="str">
        <f ca="1">IFERROR(IF(VLOOKUP('Data Entry Form'!$BO20,tblData[],COLUMN(INDIRECT("tblData[[Date of Birth]]")),0)=0,"",VLOOKUP('Data Entry Form'!$BO20,tblData[],COLUMN(INDIRECT("tblData[[Date of Birth]]")),0)),"")</f>
        <v/>
      </c>
      <c r="H16" s="524" t="str">
        <f ca="1">IFERROR(IF(VLOOKUP('Data Entry Form'!$BO20,tblData[],COLUMN(INDIRECT("tblData[[Best results]]")),0)=0,"",VLOOKUP('Data Entry Form'!$BO20,tblData[],COLUMN(INDIRECT("tblData[[Best results]]")),0)),"")</f>
        <v/>
      </c>
      <c r="I16" s="524"/>
      <c r="J16" s="230" t="str">
        <f ca="1">IFERROR(IF(VLOOKUP('Data Entry Form'!$BO20,tblData[],COLUMN(INDIRECT("tblData[[Training Camp]]")),0)=0,"NO",VLOOKUP('Data Entry Form'!$BO20,tblData[],COLUMN(INDIRECT("tblData[[Training Camp]]")),0)),"")</f>
        <v/>
      </c>
    </row>
    <row r="17" spans="1:10" s="109" customFormat="1" ht="15" customHeight="1">
      <c r="A17" s="222">
        <f t="shared" si="0"/>
        <v>8</v>
      </c>
      <c r="B17" s="223" t="str">
        <f ca="1">IFERROR(VLOOKUP('Data Entry Form'!$BO21,tblData[],COLUMN(INDIRECT("tblData[[SubType1]]")),0),"")</f>
        <v/>
      </c>
      <c r="C17" s="505" t="str">
        <f ca="1">IFERROR(VLOOKUP('Data Entry Form'!$BO21,tblData[],COLUMN(INDIRECT("tblData[[Surname]]")),0),"")</f>
        <v/>
      </c>
      <c r="D17" s="505"/>
      <c r="E17" s="505" t="str">
        <f ca="1">IFERROR(VLOOKUP('Data Entry Form'!$BO21,tblData[],COLUMN(INDIRECT("tblData[[Given name]]")),0),"")</f>
        <v/>
      </c>
      <c r="F17" s="505"/>
      <c r="G17" s="229" t="str">
        <f ca="1">IFERROR(IF(VLOOKUP('Data Entry Form'!$BO21,tblData[],COLUMN(INDIRECT("tblData[[Date of Birth]]")),0)=0,"",VLOOKUP('Data Entry Form'!$BO21,tblData[],COLUMN(INDIRECT("tblData[[Date of Birth]]")),0)),"")</f>
        <v/>
      </c>
      <c r="H17" s="524" t="str">
        <f ca="1">IFERROR(IF(VLOOKUP('Data Entry Form'!$BO21,tblData[],COLUMN(INDIRECT("tblData[[Best results]]")),0)=0,"",VLOOKUP('Data Entry Form'!$BO21,tblData[],COLUMN(INDIRECT("tblData[[Best results]]")),0)),"")</f>
        <v/>
      </c>
      <c r="I17" s="524"/>
      <c r="J17" s="230" t="str">
        <f ca="1">IFERROR(IF(VLOOKUP('Data Entry Form'!$BO21,tblData[],COLUMN(INDIRECT("tblData[[Training Camp]]")),0)=0,"NO",VLOOKUP('Data Entry Form'!$BO21,tblData[],COLUMN(INDIRECT("tblData[[Training Camp]]")),0)),"")</f>
        <v/>
      </c>
    </row>
    <row r="18" spans="1:10" s="109" customFormat="1" ht="15" customHeight="1">
      <c r="A18" s="222">
        <f t="shared" si="0"/>
        <v>9</v>
      </c>
      <c r="B18" s="223" t="str">
        <f ca="1">IFERROR(VLOOKUP('Data Entry Form'!$BO22,tblData[],COLUMN(INDIRECT("tblData[[SubType1]]")),0),"")</f>
        <v/>
      </c>
      <c r="C18" s="505" t="str">
        <f ca="1">IFERROR(VLOOKUP('Data Entry Form'!$BO22,tblData[],COLUMN(INDIRECT("tblData[[Surname]]")),0),"")</f>
        <v/>
      </c>
      <c r="D18" s="505"/>
      <c r="E18" s="505" t="str">
        <f ca="1">IFERROR(VLOOKUP('Data Entry Form'!$BO22,tblData[],COLUMN(INDIRECT("tblData[[Given name]]")),0),"")</f>
        <v/>
      </c>
      <c r="F18" s="505"/>
      <c r="G18" s="229" t="str">
        <f ca="1">IFERROR(IF(VLOOKUP('Data Entry Form'!$BO22,tblData[],COLUMN(INDIRECT("tblData[[Date of Birth]]")),0)=0,"",VLOOKUP('Data Entry Form'!$BO22,tblData[],COLUMN(INDIRECT("tblData[[Date of Birth]]")),0)),"")</f>
        <v/>
      </c>
      <c r="H18" s="524" t="str">
        <f ca="1">IFERROR(IF(VLOOKUP('Data Entry Form'!$BO22,tblData[],COLUMN(INDIRECT("tblData[[Best results]]")),0)=0,"",VLOOKUP('Data Entry Form'!$BO22,tblData[],COLUMN(INDIRECT("tblData[[Best results]]")),0)),"")</f>
        <v/>
      </c>
      <c r="I18" s="524"/>
      <c r="J18" s="230" t="str">
        <f ca="1">IFERROR(IF(VLOOKUP('Data Entry Form'!$BO22,tblData[],COLUMN(INDIRECT("tblData[[Training Camp]]")),0)=0,"NO",VLOOKUP('Data Entry Form'!$BO22,tblData[],COLUMN(INDIRECT("tblData[[Training Camp]]")),0)),"")</f>
        <v/>
      </c>
    </row>
    <row r="19" spans="1:10" s="109" customFormat="1" ht="15" customHeight="1">
      <c r="A19" s="222">
        <f t="shared" si="0"/>
        <v>10</v>
      </c>
      <c r="B19" s="223" t="str">
        <f ca="1">IFERROR(VLOOKUP('Data Entry Form'!$BO23,tblData[],COLUMN(INDIRECT("tblData[[SubType1]]")),0),"")</f>
        <v/>
      </c>
      <c r="C19" s="505" t="str">
        <f ca="1">IFERROR(VLOOKUP('Data Entry Form'!$BO23,tblData[],COLUMN(INDIRECT("tblData[[Surname]]")),0),"")</f>
        <v/>
      </c>
      <c r="D19" s="505"/>
      <c r="E19" s="505" t="str">
        <f ca="1">IFERROR(VLOOKUP('Data Entry Form'!$BO23,tblData[],COLUMN(INDIRECT("tblData[[Given name]]")),0),"")</f>
        <v/>
      </c>
      <c r="F19" s="505"/>
      <c r="G19" s="229" t="str">
        <f ca="1">IFERROR(IF(VLOOKUP('Data Entry Form'!$BO23,tblData[],COLUMN(INDIRECT("tblData[[Date of Birth]]")),0)=0,"",VLOOKUP('Data Entry Form'!$BO23,tblData[],COLUMN(INDIRECT("tblData[[Date of Birth]]")),0)),"")</f>
        <v/>
      </c>
      <c r="H19" s="524" t="str">
        <f ca="1">IFERROR(IF(VLOOKUP('Data Entry Form'!$BO23,tblData[],COLUMN(INDIRECT("tblData[[Best results]]")),0)=0,"",VLOOKUP('Data Entry Form'!$BO23,tblData[],COLUMN(INDIRECT("tblData[[Best results]]")),0)),"")</f>
        <v/>
      </c>
      <c r="I19" s="524"/>
      <c r="J19" s="230" t="str">
        <f ca="1">IFERROR(IF(VLOOKUP('Data Entry Form'!$BO23,tblData[],COLUMN(INDIRECT("tblData[[Training Camp]]")),0)=0,"NO",VLOOKUP('Data Entry Form'!$BO23,tblData[],COLUMN(INDIRECT("tblData[[Training Camp]]")),0)),"")</f>
        <v/>
      </c>
    </row>
    <row r="20" spans="1:10" s="109" customFormat="1" ht="15" customHeight="1">
      <c r="A20" s="222">
        <f t="shared" si="0"/>
        <v>11</v>
      </c>
      <c r="B20" s="223" t="str">
        <f ca="1">IFERROR(VLOOKUP('Data Entry Form'!$BO24,tblData[],COLUMN(INDIRECT("tblData[[SubType1]]")),0),"")</f>
        <v/>
      </c>
      <c r="C20" s="505" t="str">
        <f ca="1">IFERROR(VLOOKUP('Data Entry Form'!$BO24,tblData[],COLUMN(INDIRECT("tblData[[Surname]]")),0),"")</f>
        <v/>
      </c>
      <c r="D20" s="505"/>
      <c r="E20" s="505" t="str">
        <f ca="1">IFERROR(VLOOKUP('Data Entry Form'!$BO24,tblData[],COLUMN(INDIRECT("tblData[[Given name]]")),0),"")</f>
        <v/>
      </c>
      <c r="F20" s="505"/>
      <c r="G20" s="229" t="str">
        <f ca="1">IFERROR(IF(VLOOKUP('Data Entry Form'!$BO24,tblData[],COLUMN(INDIRECT("tblData[[Date of Birth]]")),0)=0,"",VLOOKUP('Data Entry Form'!$BO24,tblData[],COLUMN(INDIRECT("tblData[[Date of Birth]]")),0)),"")</f>
        <v/>
      </c>
      <c r="H20" s="524" t="str">
        <f ca="1">IFERROR(IF(VLOOKUP('Data Entry Form'!$BO24,tblData[],COLUMN(INDIRECT("tblData[[Best results]]")),0)=0,"",VLOOKUP('Data Entry Form'!$BO24,tblData[],COLUMN(INDIRECT("tblData[[Best results]]")),0)),"")</f>
        <v/>
      </c>
      <c r="I20" s="524"/>
      <c r="J20" s="230" t="str">
        <f ca="1">IFERROR(IF(VLOOKUP('Data Entry Form'!$BO24,tblData[],COLUMN(INDIRECT("tblData[[Training Camp]]")),0)=0,"NO",VLOOKUP('Data Entry Form'!$BO24,tblData[],COLUMN(INDIRECT("tblData[[Training Camp]]")),0)),"")</f>
        <v/>
      </c>
    </row>
    <row r="21" spans="1:10" s="109" customFormat="1" ht="15" customHeight="1">
      <c r="A21" s="222">
        <f t="shared" si="0"/>
        <v>12</v>
      </c>
      <c r="B21" s="223" t="str">
        <f ca="1">IFERROR(VLOOKUP('Data Entry Form'!$BO25,tblData[],COLUMN(INDIRECT("tblData[[SubType1]]")),0),"")</f>
        <v/>
      </c>
      <c r="C21" s="505" t="str">
        <f ca="1">IFERROR(VLOOKUP('Data Entry Form'!$BO25,tblData[],COLUMN(INDIRECT("tblData[[Surname]]")),0),"")</f>
        <v/>
      </c>
      <c r="D21" s="505"/>
      <c r="E21" s="505" t="str">
        <f ca="1">IFERROR(VLOOKUP('Data Entry Form'!$BO25,tblData[],COLUMN(INDIRECT("tblData[[Given name]]")),0),"")</f>
        <v/>
      </c>
      <c r="F21" s="505"/>
      <c r="G21" s="229" t="str">
        <f ca="1">IFERROR(IF(VLOOKUP('Data Entry Form'!$BO25,tblData[],COLUMN(INDIRECT("tblData[[Date of Birth]]")),0)=0,"",VLOOKUP('Data Entry Form'!$BO25,tblData[],COLUMN(INDIRECT("tblData[[Date of Birth]]")),0)),"")</f>
        <v/>
      </c>
      <c r="H21" s="524" t="str">
        <f ca="1">IFERROR(IF(VLOOKUP('Data Entry Form'!$BO25,tblData[],COLUMN(INDIRECT("tblData[[Best results]]")),0)=0,"",VLOOKUP('Data Entry Form'!$BO25,tblData[],COLUMN(INDIRECT("tblData[[Best results]]")),0)),"")</f>
        <v/>
      </c>
      <c r="I21" s="524"/>
      <c r="J21" s="230" t="str">
        <f ca="1">IFERROR(IF(VLOOKUP('Data Entry Form'!$BO25,tblData[],COLUMN(INDIRECT("tblData[[Training Camp]]")),0)=0,"NO",VLOOKUP('Data Entry Form'!$BO25,tblData[],COLUMN(INDIRECT("tblData[[Training Camp]]")),0)),"")</f>
        <v/>
      </c>
    </row>
    <row r="22" spans="1:10" s="109" customFormat="1" ht="15" customHeight="1">
      <c r="A22" s="222">
        <f t="shared" si="0"/>
        <v>13</v>
      </c>
      <c r="B22" s="223" t="str">
        <f ca="1">IFERROR(VLOOKUP('Data Entry Form'!$BO26,tblData[],COLUMN(INDIRECT("tblData[[SubType1]]")),0),"")</f>
        <v/>
      </c>
      <c r="C22" s="505" t="str">
        <f ca="1">IFERROR(VLOOKUP('Data Entry Form'!$BO26,tblData[],COLUMN(INDIRECT("tblData[[Surname]]")),0),"")</f>
        <v/>
      </c>
      <c r="D22" s="505"/>
      <c r="E22" s="505" t="str">
        <f ca="1">IFERROR(VLOOKUP('Data Entry Form'!$BO26,tblData[],COLUMN(INDIRECT("tblData[[Given name]]")),0),"")</f>
        <v/>
      </c>
      <c r="F22" s="505"/>
      <c r="G22" s="229" t="str">
        <f ca="1">IFERROR(IF(VLOOKUP('Data Entry Form'!$BO26,tblData[],COLUMN(INDIRECT("tblData[[Date of Birth]]")),0)=0,"",VLOOKUP('Data Entry Form'!$BO26,tblData[],COLUMN(INDIRECT("tblData[[Date of Birth]]")),0)),"")</f>
        <v/>
      </c>
      <c r="H22" s="524" t="str">
        <f ca="1">IFERROR(IF(VLOOKUP('Data Entry Form'!$BO26,tblData[],COLUMN(INDIRECT("tblData[[Best results]]")),0)=0,"",VLOOKUP('Data Entry Form'!$BO26,tblData[],COLUMN(INDIRECT("tblData[[Best results]]")),0)),"")</f>
        <v/>
      </c>
      <c r="I22" s="524"/>
      <c r="J22" s="230" t="str">
        <f ca="1">IFERROR(IF(VLOOKUP('Data Entry Form'!$BO26,tblData[],COLUMN(INDIRECT("tblData[[Training Camp]]")),0)=0,"NO",VLOOKUP('Data Entry Form'!$BO26,tblData[],COLUMN(INDIRECT("tblData[[Training Camp]]")),0)),"")</f>
        <v/>
      </c>
    </row>
    <row r="23" spans="1:10" s="109" customFormat="1" ht="15" customHeight="1">
      <c r="A23" s="222">
        <f t="shared" si="0"/>
        <v>14</v>
      </c>
      <c r="B23" s="223" t="str">
        <f ca="1">IFERROR(VLOOKUP('Data Entry Form'!$BO27,tblData[],COLUMN(INDIRECT("tblData[[SubType1]]")),0),"")</f>
        <v/>
      </c>
      <c r="C23" s="505" t="str">
        <f ca="1">IFERROR(VLOOKUP('Data Entry Form'!$BO27,tblData[],COLUMN(INDIRECT("tblData[[Surname]]")),0),"")</f>
        <v/>
      </c>
      <c r="D23" s="505"/>
      <c r="E23" s="505" t="str">
        <f ca="1">IFERROR(VLOOKUP('Data Entry Form'!$BO27,tblData[],COLUMN(INDIRECT("tblData[[Given name]]")),0),"")</f>
        <v/>
      </c>
      <c r="F23" s="505"/>
      <c r="G23" s="229" t="str">
        <f ca="1">IFERROR(IF(VLOOKUP('Data Entry Form'!$BO27,tblData[],COLUMN(INDIRECT("tblData[[Date of Birth]]")),0)=0,"",VLOOKUP('Data Entry Form'!$BO27,tblData[],COLUMN(INDIRECT("tblData[[Date of Birth]]")),0)),"")</f>
        <v/>
      </c>
      <c r="H23" s="524" t="str">
        <f ca="1">IFERROR(IF(VLOOKUP('Data Entry Form'!$BO27,tblData[],COLUMN(INDIRECT("tblData[[Best results]]")),0)=0,"",VLOOKUP('Data Entry Form'!$BO27,tblData[],COLUMN(INDIRECT("tblData[[Best results]]")),0)),"")</f>
        <v/>
      </c>
      <c r="I23" s="524"/>
      <c r="J23" s="230" t="str">
        <f ca="1">IFERROR(IF(VLOOKUP('Data Entry Form'!$BO27,tblData[],COLUMN(INDIRECT("tblData[[Training Camp]]")),0)=0,"NO",VLOOKUP('Data Entry Form'!$BO27,tblData[],COLUMN(INDIRECT("tblData[[Training Camp]]")),0)),"")</f>
        <v/>
      </c>
    </row>
    <row r="24" spans="1:10" s="109" customFormat="1" ht="15" customHeight="1">
      <c r="A24" s="222">
        <f t="shared" si="0"/>
        <v>15</v>
      </c>
      <c r="B24" s="223" t="str">
        <f ca="1">IFERROR(VLOOKUP('Data Entry Form'!$BO28,tblData[],COLUMN(INDIRECT("tblData[[SubType1]]")),0),"")</f>
        <v/>
      </c>
      <c r="C24" s="505" t="str">
        <f ca="1">IFERROR(VLOOKUP('Data Entry Form'!$BO28,tblData[],COLUMN(INDIRECT("tblData[[Surname]]")),0),"")</f>
        <v/>
      </c>
      <c r="D24" s="505"/>
      <c r="E24" s="505" t="str">
        <f ca="1">IFERROR(VLOOKUP('Data Entry Form'!$BO28,tblData[],COLUMN(INDIRECT("tblData[[Given name]]")),0),"")</f>
        <v/>
      </c>
      <c r="F24" s="505"/>
      <c r="G24" s="229" t="str">
        <f ca="1">IFERROR(IF(VLOOKUP('Data Entry Form'!$BO28,tblData[],COLUMN(INDIRECT("tblData[[Date of Birth]]")),0)=0,"",VLOOKUP('Data Entry Form'!$BO28,tblData[],COLUMN(INDIRECT("tblData[[Date of Birth]]")),0)),"")</f>
        <v/>
      </c>
      <c r="H24" s="524" t="str">
        <f ca="1">IFERROR(IF(VLOOKUP('Data Entry Form'!$BO28,tblData[],COLUMN(INDIRECT("tblData[[Best results]]")),0)=0,"",VLOOKUP('Data Entry Form'!$BO28,tblData[],COLUMN(INDIRECT("tblData[[Best results]]")),0)),"")</f>
        <v/>
      </c>
      <c r="I24" s="524"/>
      <c r="J24" s="230" t="str">
        <f ca="1">IFERROR(IF(VLOOKUP('Data Entry Form'!$BO28,tblData[],COLUMN(INDIRECT("tblData[[Training Camp]]")),0)=0,"NO",VLOOKUP('Data Entry Form'!$BO28,tblData[],COLUMN(INDIRECT("tblData[[Training Camp]]")),0)),"")</f>
        <v/>
      </c>
    </row>
    <row r="25" spans="1:10" s="109" customFormat="1" ht="15" customHeight="1">
      <c r="A25" s="222">
        <f t="shared" si="0"/>
        <v>16</v>
      </c>
      <c r="B25" s="223" t="str">
        <f ca="1">IFERROR(VLOOKUP('Data Entry Form'!$BO29,tblData[],COLUMN(INDIRECT("tblData[[SubType1]]")),0),"")</f>
        <v/>
      </c>
      <c r="C25" s="505" t="str">
        <f ca="1">IFERROR(VLOOKUP('Data Entry Form'!$BO29,tblData[],COLUMN(INDIRECT("tblData[[Surname]]")),0),"")</f>
        <v/>
      </c>
      <c r="D25" s="505"/>
      <c r="E25" s="505" t="str">
        <f ca="1">IFERROR(VLOOKUP('Data Entry Form'!$BO29,tblData[],COLUMN(INDIRECT("tblData[[Given name]]")),0),"")</f>
        <v/>
      </c>
      <c r="F25" s="505"/>
      <c r="G25" s="229" t="str">
        <f ca="1">IFERROR(IF(VLOOKUP('Data Entry Form'!$BO29,tblData[],COLUMN(INDIRECT("tblData[[Date of Birth]]")),0)=0,"",VLOOKUP('Data Entry Form'!$BO29,tblData[],COLUMN(INDIRECT("tblData[[Date of Birth]]")),0)),"")</f>
        <v/>
      </c>
      <c r="H25" s="524" t="str">
        <f ca="1">IFERROR(IF(VLOOKUP('Data Entry Form'!$BO29,tblData[],COLUMN(INDIRECT("tblData[[Best results]]")),0)=0,"",VLOOKUP('Data Entry Form'!$BO29,tblData[],COLUMN(INDIRECT("tblData[[Best results]]")),0)),"")</f>
        <v/>
      </c>
      <c r="I25" s="524"/>
      <c r="J25" s="230" t="str">
        <f ca="1">IFERROR(IF(VLOOKUP('Data Entry Form'!$BO29,tblData[],COLUMN(INDIRECT("tblData[[Training Camp]]")),0)=0,"NO",VLOOKUP('Data Entry Form'!$BO29,tblData[],COLUMN(INDIRECT("tblData[[Training Camp]]")),0)),"")</f>
        <v/>
      </c>
    </row>
    <row r="26" spans="1:10" s="109" customFormat="1" ht="15" customHeight="1">
      <c r="A26" s="222">
        <f t="shared" si="0"/>
        <v>17</v>
      </c>
      <c r="B26" s="223" t="str">
        <f ca="1">IFERROR(VLOOKUP('Data Entry Form'!$BO30,tblData[],COLUMN(INDIRECT("tblData[[SubType1]]")),0),"")</f>
        <v/>
      </c>
      <c r="C26" s="505" t="str">
        <f ca="1">IFERROR(VLOOKUP('Data Entry Form'!$BO30,tblData[],COLUMN(INDIRECT("tblData[[Surname]]")),0),"")</f>
        <v/>
      </c>
      <c r="D26" s="505"/>
      <c r="E26" s="505" t="str">
        <f ca="1">IFERROR(VLOOKUP('Data Entry Form'!$BO30,tblData[],COLUMN(INDIRECT("tblData[[Given name]]")),0),"")</f>
        <v/>
      </c>
      <c r="F26" s="505"/>
      <c r="G26" s="229" t="str">
        <f ca="1">IFERROR(IF(VLOOKUP('Data Entry Form'!$BO30,tblData[],COLUMN(INDIRECT("tblData[[Date of Birth]]")),0)=0,"",VLOOKUP('Data Entry Form'!$BO30,tblData[],COLUMN(INDIRECT("tblData[[Date of Birth]]")),0)),"")</f>
        <v/>
      </c>
      <c r="H26" s="524" t="str">
        <f ca="1">IFERROR(IF(VLOOKUP('Data Entry Form'!$BO30,tblData[],COLUMN(INDIRECT("tblData[[Best results]]")),0)=0,"",VLOOKUP('Data Entry Form'!$BO30,tblData[],COLUMN(INDIRECT("tblData[[Best results]]")),0)),"")</f>
        <v/>
      </c>
      <c r="I26" s="524"/>
      <c r="J26" s="230" t="str">
        <f ca="1">IFERROR(IF(VLOOKUP('Data Entry Form'!$BO30,tblData[],COLUMN(INDIRECT("tblData[[Training Camp]]")),0)=0,"NO",VLOOKUP('Data Entry Form'!$BO30,tblData[],COLUMN(INDIRECT("tblData[[Training Camp]]")),0)),"")</f>
        <v/>
      </c>
    </row>
    <row r="27" spans="1:10" s="109" customFormat="1" ht="15" customHeight="1">
      <c r="A27" s="222">
        <f t="shared" si="0"/>
        <v>18</v>
      </c>
      <c r="B27" s="223" t="str">
        <f ca="1">IFERROR(VLOOKUP('Data Entry Form'!$BO31,tblData[],COLUMN(INDIRECT("tblData[[SubType1]]")),0),"")</f>
        <v/>
      </c>
      <c r="C27" s="505" t="str">
        <f ca="1">IFERROR(VLOOKUP('Data Entry Form'!$BO31,tblData[],COLUMN(INDIRECT("tblData[[Surname]]")),0),"")</f>
        <v/>
      </c>
      <c r="D27" s="505"/>
      <c r="E27" s="505" t="str">
        <f ca="1">IFERROR(VLOOKUP('Data Entry Form'!$BO31,tblData[],COLUMN(INDIRECT("tblData[[Given name]]")),0),"")</f>
        <v/>
      </c>
      <c r="F27" s="505"/>
      <c r="G27" s="229" t="str">
        <f ca="1">IFERROR(IF(VLOOKUP('Data Entry Form'!$BO31,tblData[],COLUMN(INDIRECT("tblData[[Date of Birth]]")),0)=0,"",VLOOKUP('Data Entry Form'!$BO31,tblData[],COLUMN(INDIRECT("tblData[[Date of Birth]]")),0)),"")</f>
        <v/>
      </c>
      <c r="H27" s="524" t="str">
        <f ca="1">IFERROR(IF(VLOOKUP('Data Entry Form'!$BO31,tblData[],COLUMN(INDIRECT("tblData[[Best results]]")),0)=0,"",VLOOKUP('Data Entry Form'!$BO31,tblData[],COLUMN(INDIRECT("tblData[[Best results]]")),0)),"")</f>
        <v/>
      </c>
      <c r="I27" s="524"/>
      <c r="J27" s="230" t="str">
        <f ca="1">IFERROR(IF(VLOOKUP('Data Entry Form'!$BO31,tblData[],COLUMN(INDIRECT("tblData[[Training Camp]]")),0)=0,"NO",VLOOKUP('Data Entry Form'!$BO31,tblData[],COLUMN(INDIRECT("tblData[[Training Camp]]")),0)),"")</f>
        <v/>
      </c>
    </row>
    <row r="28" spans="1:10" s="109" customFormat="1" ht="15" customHeight="1">
      <c r="A28" s="222">
        <f t="shared" si="0"/>
        <v>19</v>
      </c>
      <c r="B28" s="223" t="str">
        <f ca="1">IFERROR(VLOOKUP('Data Entry Form'!$BO32,tblData[],COLUMN(INDIRECT("tblData[[SubType1]]")),0),"")</f>
        <v/>
      </c>
      <c r="C28" s="505" t="str">
        <f ca="1">IFERROR(VLOOKUP('Data Entry Form'!$BO32,tblData[],COLUMN(INDIRECT("tblData[[Surname]]")),0),"")</f>
        <v/>
      </c>
      <c r="D28" s="505"/>
      <c r="E28" s="505" t="str">
        <f ca="1">IFERROR(VLOOKUP('Data Entry Form'!$BO32,tblData[],COLUMN(INDIRECT("tblData[[Given name]]")),0),"")</f>
        <v/>
      </c>
      <c r="F28" s="505"/>
      <c r="G28" s="229" t="str">
        <f ca="1">IFERROR(IF(VLOOKUP('Data Entry Form'!$BO32,tblData[],COLUMN(INDIRECT("tblData[[Date of Birth]]")),0)=0,"",VLOOKUP('Data Entry Form'!$BO32,tblData[],COLUMN(INDIRECT("tblData[[Date of Birth]]")),0)),"")</f>
        <v/>
      </c>
      <c r="H28" s="524" t="str">
        <f ca="1">IFERROR(IF(VLOOKUP('Data Entry Form'!$BO32,tblData[],COLUMN(INDIRECT("tblData[[Best results]]")),0)=0,"",VLOOKUP('Data Entry Form'!$BO32,tblData[],COLUMN(INDIRECT("tblData[[Best results]]")),0)),"")</f>
        <v/>
      </c>
      <c r="I28" s="524"/>
      <c r="J28" s="230" t="str">
        <f ca="1">IFERROR(IF(VLOOKUP('Data Entry Form'!$BO32,tblData[],COLUMN(INDIRECT("tblData[[Training Camp]]")),0)=0,"NO",VLOOKUP('Data Entry Form'!$BO32,tblData[],COLUMN(INDIRECT("tblData[[Training Camp]]")),0)),"")</f>
        <v/>
      </c>
    </row>
    <row r="29" spans="1:10" s="109" customFormat="1" ht="15" customHeight="1">
      <c r="A29" s="222">
        <f t="shared" si="0"/>
        <v>20</v>
      </c>
      <c r="B29" s="223" t="str">
        <f ca="1">IFERROR(VLOOKUP('Data Entry Form'!$BO33,tblData[],COLUMN(INDIRECT("tblData[[SubType1]]")),0),"")</f>
        <v/>
      </c>
      <c r="C29" s="505" t="str">
        <f ca="1">IFERROR(VLOOKUP('Data Entry Form'!$BO33,tblData[],COLUMN(INDIRECT("tblData[[Surname]]")),0),"")</f>
        <v/>
      </c>
      <c r="D29" s="505"/>
      <c r="E29" s="505" t="str">
        <f ca="1">IFERROR(VLOOKUP('Data Entry Form'!$BO33,tblData[],COLUMN(INDIRECT("tblData[[Given name]]")),0),"")</f>
        <v/>
      </c>
      <c r="F29" s="505"/>
      <c r="G29" s="229" t="str">
        <f ca="1">IFERROR(IF(VLOOKUP('Data Entry Form'!$BO33,tblData[],COLUMN(INDIRECT("tblData[[Date of Birth]]")),0)=0,"",VLOOKUP('Data Entry Form'!$BO33,tblData[],COLUMN(INDIRECT("tblData[[Date of Birth]]")),0)),"")</f>
        <v/>
      </c>
      <c r="H29" s="524" t="str">
        <f ca="1">IFERROR(IF(VLOOKUP('Data Entry Form'!$BO33,tblData[],COLUMN(INDIRECT("tblData[[Best results]]")),0)=0,"",VLOOKUP('Data Entry Form'!$BO33,tblData[],COLUMN(INDIRECT("tblData[[Best results]]")),0)),"")</f>
        <v/>
      </c>
      <c r="I29" s="524"/>
      <c r="J29" s="230" t="str">
        <f ca="1">IFERROR(IF(VLOOKUP('Data Entry Form'!$BO33,tblData[],COLUMN(INDIRECT("tblData[[Training Camp]]")),0)=0,"NO",VLOOKUP('Data Entry Form'!$BO33,tblData[],COLUMN(INDIRECT("tblData[[Training Camp]]")),0)),"")</f>
        <v/>
      </c>
    </row>
    <row r="30" spans="1:10" s="109" customFormat="1" ht="15" customHeight="1">
      <c r="A30" s="222">
        <f t="shared" si="0"/>
        <v>21</v>
      </c>
      <c r="B30" s="223" t="str">
        <f ca="1">IFERROR(VLOOKUP('Data Entry Form'!$BO34,tblData[],COLUMN(INDIRECT("tblData[[SubType1]]")),0),"")</f>
        <v/>
      </c>
      <c r="C30" s="505" t="str">
        <f ca="1">IFERROR(VLOOKUP('Data Entry Form'!$BO34,tblData[],COLUMN(INDIRECT("tblData[[Surname]]")),0),"")</f>
        <v/>
      </c>
      <c r="D30" s="505"/>
      <c r="E30" s="505" t="str">
        <f ca="1">IFERROR(VLOOKUP('Data Entry Form'!$BO34,tblData[],COLUMN(INDIRECT("tblData[[Given name]]")),0),"")</f>
        <v/>
      </c>
      <c r="F30" s="505"/>
      <c r="G30" s="229" t="str">
        <f ca="1">IFERROR(IF(VLOOKUP('Data Entry Form'!$BO34,tblData[],COLUMN(INDIRECT("tblData[[Date of Birth]]")),0)=0,"",VLOOKUP('Data Entry Form'!$BO34,tblData[],COLUMN(INDIRECT("tblData[[Date of Birth]]")),0)),"")</f>
        <v/>
      </c>
      <c r="H30" s="524" t="str">
        <f ca="1">IFERROR(IF(VLOOKUP('Data Entry Form'!$BO34,tblData[],COLUMN(INDIRECT("tblData[[Best results]]")),0)=0,"",VLOOKUP('Data Entry Form'!$BO34,tblData[],COLUMN(INDIRECT("tblData[[Best results]]")),0)),"")</f>
        <v/>
      </c>
      <c r="I30" s="524"/>
      <c r="J30" s="230" t="str">
        <f ca="1">IFERROR(IF(VLOOKUP('Data Entry Form'!$BO34,tblData[],COLUMN(INDIRECT("tblData[[Training Camp]]")),0)=0,"NO",VLOOKUP('Data Entry Form'!$BO34,tblData[],COLUMN(INDIRECT("tblData[[Training Camp]]")),0)),"")</f>
        <v/>
      </c>
    </row>
    <row r="31" spans="1:10" s="109" customFormat="1" ht="15" customHeight="1">
      <c r="A31" s="222">
        <f t="shared" si="0"/>
        <v>22</v>
      </c>
      <c r="B31" s="223" t="str">
        <f ca="1">IFERROR(VLOOKUP('Data Entry Form'!$BO35,tblData[],COLUMN(INDIRECT("tblData[[SubType1]]")),0),"")</f>
        <v/>
      </c>
      <c r="C31" s="505" t="str">
        <f ca="1">IFERROR(VLOOKUP('Data Entry Form'!$BO35,tblData[],COLUMN(INDIRECT("tblData[[Surname]]")),0),"")</f>
        <v/>
      </c>
      <c r="D31" s="505"/>
      <c r="E31" s="505" t="str">
        <f ca="1">IFERROR(VLOOKUP('Data Entry Form'!$BO35,tblData[],COLUMN(INDIRECT("tblData[[Given name]]")),0),"")</f>
        <v/>
      </c>
      <c r="F31" s="505"/>
      <c r="G31" s="229" t="str">
        <f ca="1">IFERROR(IF(VLOOKUP('Data Entry Form'!$BO35,tblData[],COLUMN(INDIRECT("tblData[[Date of Birth]]")),0)=0,"",VLOOKUP('Data Entry Form'!$BO35,tblData[],COLUMN(INDIRECT("tblData[[Date of Birth]]")),0)),"")</f>
        <v/>
      </c>
      <c r="H31" s="524" t="str">
        <f ca="1">IFERROR(IF(VLOOKUP('Data Entry Form'!$BO35,tblData[],COLUMN(INDIRECT("tblData[[Best results]]")),0)=0,"",VLOOKUP('Data Entry Form'!$BO35,tblData[],COLUMN(INDIRECT("tblData[[Best results]]")),0)),"")</f>
        <v/>
      </c>
      <c r="I31" s="524"/>
      <c r="J31" s="230" t="str">
        <f ca="1">IFERROR(IF(VLOOKUP('Data Entry Form'!$BO35,tblData[],COLUMN(INDIRECT("tblData[[Training Camp]]")),0)=0,"NO",VLOOKUP('Data Entry Form'!$BO35,tblData[],COLUMN(INDIRECT("tblData[[Training Camp]]")),0)),"")</f>
        <v/>
      </c>
    </row>
    <row r="32" spans="1:10" s="109" customFormat="1" ht="15" customHeight="1">
      <c r="A32" s="222">
        <f t="shared" si="0"/>
        <v>23</v>
      </c>
      <c r="B32" s="223" t="str">
        <f ca="1">IFERROR(VLOOKUP('Data Entry Form'!$BO36,tblData[],COLUMN(INDIRECT("tblData[[SubType1]]")),0),"")</f>
        <v/>
      </c>
      <c r="C32" s="505" t="str">
        <f ca="1">IFERROR(VLOOKUP('Data Entry Form'!$BO36,tblData[],COLUMN(INDIRECT("tblData[[Surname]]")),0),"")</f>
        <v/>
      </c>
      <c r="D32" s="505"/>
      <c r="E32" s="505" t="str">
        <f ca="1">IFERROR(VLOOKUP('Data Entry Form'!$BO36,tblData[],COLUMN(INDIRECT("tblData[[Given name]]")),0),"")</f>
        <v/>
      </c>
      <c r="F32" s="505"/>
      <c r="G32" s="229" t="str">
        <f ca="1">IFERROR(IF(VLOOKUP('Data Entry Form'!$BO36,tblData[],COLUMN(INDIRECT("tblData[[Date of Birth]]")),0)=0,"",VLOOKUP('Data Entry Form'!$BO36,tblData[],COLUMN(INDIRECT("tblData[[Date of Birth]]")),0)),"")</f>
        <v/>
      </c>
      <c r="H32" s="524" t="str">
        <f ca="1">IFERROR(IF(VLOOKUP('Data Entry Form'!$BO36,tblData[],COLUMN(INDIRECT("tblData[[Best results]]")),0)=0,"",VLOOKUP('Data Entry Form'!$BO36,tblData[],COLUMN(INDIRECT("tblData[[Best results]]")),0)),"")</f>
        <v/>
      </c>
      <c r="I32" s="524"/>
      <c r="J32" s="230" t="str">
        <f ca="1">IFERROR(IF(VLOOKUP('Data Entry Form'!$BO36,tblData[],COLUMN(INDIRECT("tblData[[Training Camp]]")),0)=0,"NO",VLOOKUP('Data Entry Form'!$BO36,tblData[],COLUMN(INDIRECT("tblData[[Training Camp]]")),0)),"")</f>
        <v/>
      </c>
    </row>
    <row r="33" spans="1:10" s="109" customFormat="1" ht="15" customHeight="1">
      <c r="A33" s="222">
        <f t="shared" si="0"/>
        <v>24</v>
      </c>
      <c r="B33" s="223" t="str">
        <f ca="1">IFERROR(VLOOKUP('Data Entry Form'!$BO37,tblData[],COLUMN(INDIRECT("tblData[[SubType1]]")),0),"")</f>
        <v/>
      </c>
      <c r="C33" s="505" t="str">
        <f ca="1">IFERROR(VLOOKUP('Data Entry Form'!$BO37,tblData[],COLUMN(INDIRECT("tblData[[Surname]]")),0),"")</f>
        <v/>
      </c>
      <c r="D33" s="505"/>
      <c r="E33" s="505" t="str">
        <f ca="1">IFERROR(VLOOKUP('Data Entry Form'!$BO37,tblData[],COLUMN(INDIRECT("tblData[[Given name]]")),0),"")</f>
        <v/>
      </c>
      <c r="F33" s="505"/>
      <c r="G33" s="229" t="str">
        <f ca="1">IFERROR(IF(VLOOKUP('Data Entry Form'!$BO37,tblData[],COLUMN(INDIRECT("tblData[[Date of Birth]]")),0)=0,"",VLOOKUP('Data Entry Form'!$BO37,tblData[],COLUMN(INDIRECT("tblData[[Date of Birth]]")),0)),"")</f>
        <v/>
      </c>
      <c r="H33" s="524" t="str">
        <f ca="1">IFERROR(IF(VLOOKUP('Data Entry Form'!$BO37,tblData[],COLUMN(INDIRECT("tblData[[Best results]]")),0)=0,"",VLOOKUP('Data Entry Form'!$BO37,tblData[],COLUMN(INDIRECT("tblData[[Best results]]")),0)),"")</f>
        <v/>
      </c>
      <c r="I33" s="524"/>
      <c r="J33" s="230" t="str">
        <f ca="1">IFERROR(IF(VLOOKUP('Data Entry Form'!$BO37,tblData[],COLUMN(INDIRECT("tblData[[Training Camp]]")),0)=0,"NO",VLOOKUP('Data Entry Form'!$BO37,tblData[],COLUMN(INDIRECT("tblData[[Training Camp]]")),0)),"")</f>
        <v/>
      </c>
    </row>
    <row r="34" spans="1:10" s="109" customFormat="1" ht="15" customHeight="1">
      <c r="A34" s="222">
        <f t="shared" si="0"/>
        <v>25</v>
      </c>
      <c r="B34" s="223" t="str">
        <f ca="1">IFERROR(VLOOKUP('Data Entry Form'!$BO38,tblData[],COLUMN(INDIRECT("tblData[[SubType1]]")),0),"")</f>
        <v/>
      </c>
      <c r="C34" s="505" t="str">
        <f ca="1">IFERROR(VLOOKUP('Data Entry Form'!$BO38,tblData[],COLUMN(INDIRECT("tblData[[Surname]]")),0),"")</f>
        <v/>
      </c>
      <c r="D34" s="505"/>
      <c r="E34" s="505" t="str">
        <f ca="1">IFERROR(VLOOKUP('Data Entry Form'!$BO38,tblData[],COLUMN(INDIRECT("tblData[[Given name]]")),0),"")</f>
        <v/>
      </c>
      <c r="F34" s="505"/>
      <c r="G34" s="229" t="str">
        <f ca="1">IFERROR(IF(VLOOKUP('Data Entry Form'!$BO38,tblData[],COLUMN(INDIRECT("tblData[[Date of Birth]]")),0)=0,"",VLOOKUP('Data Entry Form'!$BO38,tblData[],COLUMN(INDIRECT("tblData[[Date of Birth]]")),0)),"")</f>
        <v/>
      </c>
      <c r="H34" s="524" t="str">
        <f ca="1">IFERROR(IF(VLOOKUP('Data Entry Form'!$BO38,tblData[],COLUMN(INDIRECT("tblData[[Best results]]")),0)=0,"",VLOOKUP('Data Entry Form'!$BO38,tblData[],COLUMN(INDIRECT("tblData[[Best results]]")),0)),"")</f>
        <v/>
      </c>
      <c r="I34" s="524"/>
      <c r="J34" s="230" t="str">
        <f ca="1">IFERROR(IF(VLOOKUP('Data Entry Form'!$BO38,tblData[],COLUMN(INDIRECT("tblData[[Training Camp]]")),0)=0,"NO",VLOOKUP('Data Entry Form'!$BO38,tblData[],COLUMN(INDIRECT("tblData[[Training Camp]]")),0)),"")</f>
        <v/>
      </c>
    </row>
    <row r="35" spans="1:10" s="109" customFormat="1" ht="15" customHeight="1">
      <c r="A35" s="222">
        <f t="shared" si="0"/>
        <v>26</v>
      </c>
      <c r="B35" s="223" t="str">
        <f ca="1">IFERROR(VLOOKUP('Data Entry Form'!$BO39,tblData[],COLUMN(INDIRECT("tblData[[SubType1]]")),0),"")</f>
        <v/>
      </c>
      <c r="C35" s="505" t="str">
        <f ca="1">IFERROR(VLOOKUP('Data Entry Form'!$BO39,tblData[],COLUMN(INDIRECT("tblData[[Surname]]")),0),"")</f>
        <v/>
      </c>
      <c r="D35" s="505"/>
      <c r="E35" s="505" t="str">
        <f ca="1">IFERROR(VLOOKUP('Data Entry Form'!$BO39,tblData[],COLUMN(INDIRECT("tblData[[Given name]]")),0),"")</f>
        <v/>
      </c>
      <c r="F35" s="505"/>
      <c r="G35" s="229" t="str">
        <f ca="1">IFERROR(IF(VLOOKUP('Data Entry Form'!$BO39,tblData[],COLUMN(INDIRECT("tblData[[Date of Birth]]")),0)=0,"",VLOOKUP('Data Entry Form'!$BO39,tblData[],COLUMN(INDIRECT("tblData[[Date of Birth]]")),0)),"")</f>
        <v/>
      </c>
      <c r="H35" s="524" t="str">
        <f ca="1">IFERROR(IF(VLOOKUP('Data Entry Form'!$BO39,tblData[],COLUMN(INDIRECT("tblData[[Best results]]")),0)=0,"",VLOOKUP('Data Entry Form'!$BO39,tblData[],COLUMN(INDIRECT("tblData[[Best results]]")),0)),"")</f>
        <v/>
      </c>
      <c r="I35" s="524"/>
      <c r="J35" s="230" t="str">
        <f ca="1">IFERROR(IF(VLOOKUP('Data Entry Form'!$BO39,tblData[],COLUMN(INDIRECT("tblData[[Training Camp]]")),0)=0,"NO",VLOOKUP('Data Entry Form'!$BO39,tblData[],COLUMN(INDIRECT("tblData[[Training Camp]]")),0)),"")</f>
        <v/>
      </c>
    </row>
    <row r="36" spans="1:10" s="109" customFormat="1" ht="15" customHeight="1">
      <c r="A36" s="222">
        <f t="shared" si="0"/>
        <v>27</v>
      </c>
      <c r="B36" s="223" t="str">
        <f ca="1">IFERROR(VLOOKUP('Data Entry Form'!$BO40,tblData[],COLUMN(INDIRECT("tblData[[SubType1]]")),0),"")</f>
        <v/>
      </c>
      <c r="C36" s="505" t="str">
        <f ca="1">IFERROR(VLOOKUP('Data Entry Form'!$BO40,tblData[],COLUMN(INDIRECT("tblData[[Surname]]")),0),"")</f>
        <v/>
      </c>
      <c r="D36" s="505"/>
      <c r="E36" s="505" t="str">
        <f ca="1">IFERROR(VLOOKUP('Data Entry Form'!$BO40,tblData[],COLUMN(INDIRECT("tblData[[Given name]]")),0),"")</f>
        <v/>
      </c>
      <c r="F36" s="505"/>
      <c r="G36" s="229" t="str">
        <f ca="1">IFERROR(IF(VLOOKUP('Data Entry Form'!$BO40,tblData[],COLUMN(INDIRECT("tblData[[Date of Birth]]")),0)=0,"",VLOOKUP('Data Entry Form'!$BO40,tblData[],COLUMN(INDIRECT("tblData[[Date of Birth]]")),0)),"")</f>
        <v/>
      </c>
      <c r="H36" s="524" t="str">
        <f ca="1">IFERROR(IF(VLOOKUP('Data Entry Form'!$BO40,tblData[],COLUMN(INDIRECT("tblData[[Best results]]")),0)=0,"",VLOOKUP('Data Entry Form'!$BO40,tblData[],COLUMN(INDIRECT("tblData[[Best results]]")),0)),"")</f>
        <v/>
      </c>
      <c r="I36" s="524"/>
      <c r="J36" s="230" t="str">
        <f ca="1">IFERROR(IF(VLOOKUP('Data Entry Form'!$BO40,tblData[],COLUMN(INDIRECT("tblData[[Training Camp]]")),0)=0,"NO",VLOOKUP('Data Entry Form'!$BO40,tblData[],COLUMN(INDIRECT("tblData[[Training Camp]]")),0)),"")</f>
        <v/>
      </c>
    </row>
    <row r="37" spans="1:10" s="109" customFormat="1" ht="15" customHeight="1">
      <c r="A37" s="222">
        <f t="shared" si="0"/>
        <v>28</v>
      </c>
      <c r="B37" s="223" t="str">
        <f ca="1">IFERROR(VLOOKUP('Data Entry Form'!$BO41,tblData[],COLUMN(INDIRECT("tblData[[SubType1]]")),0),"")</f>
        <v/>
      </c>
      <c r="C37" s="505" t="str">
        <f ca="1">IFERROR(VLOOKUP('Data Entry Form'!$BO41,tblData[],COLUMN(INDIRECT("tblData[[Surname]]")),0),"")</f>
        <v/>
      </c>
      <c r="D37" s="505"/>
      <c r="E37" s="505" t="str">
        <f ca="1">IFERROR(VLOOKUP('Data Entry Form'!$BO41,tblData[],COLUMN(INDIRECT("tblData[[Given name]]")),0),"")</f>
        <v/>
      </c>
      <c r="F37" s="505"/>
      <c r="G37" s="229" t="str">
        <f ca="1">IFERROR(IF(VLOOKUP('Data Entry Form'!$BO41,tblData[],COLUMN(INDIRECT("tblData[[Date of Birth]]")),0)=0,"",VLOOKUP('Data Entry Form'!$BO41,tblData[],COLUMN(INDIRECT("tblData[[Date of Birth]]")),0)),"")</f>
        <v/>
      </c>
      <c r="H37" s="524" t="str">
        <f ca="1">IFERROR(IF(VLOOKUP('Data Entry Form'!$BO41,tblData[],COLUMN(INDIRECT("tblData[[Best results]]")),0)=0,"",VLOOKUP('Data Entry Form'!$BO41,tblData[],COLUMN(INDIRECT("tblData[[Best results]]")),0)),"")</f>
        <v/>
      </c>
      <c r="I37" s="524"/>
      <c r="J37" s="230" t="str">
        <f ca="1">IFERROR(IF(VLOOKUP('Data Entry Form'!$BO41,tblData[],COLUMN(INDIRECT("tblData[[Training Camp]]")),0)=0,"NO",VLOOKUP('Data Entry Form'!$BO41,tblData[],COLUMN(INDIRECT("tblData[[Training Camp]]")),0)),"")</f>
        <v/>
      </c>
    </row>
    <row r="38" spans="1:10" s="109" customFormat="1" ht="15" customHeight="1">
      <c r="A38" s="222">
        <f t="shared" si="0"/>
        <v>29</v>
      </c>
      <c r="B38" s="223" t="str">
        <f ca="1">IFERROR(VLOOKUP('Data Entry Form'!$BO42,tblData[],COLUMN(INDIRECT("tblData[[SubType1]]")),0),"")</f>
        <v/>
      </c>
      <c r="C38" s="505" t="str">
        <f ca="1">IFERROR(VLOOKUP('Data Entry Form'!$BO42,tblData[],COLUMN(INDIRECT("tblData[[Surname]]")),0),"")</f>
        <v/>
      </c>
      <c r="D38" s="505"/>
      <c r="E38" s="505" t="str">
        <f ca="1">IFERROR(VLOOKUP('Data Entry Form'!$BO42,tblData[],COLUMN(INDIRECT("tblData[[Given name]]")),0),"")</f>
        <v/>
      </c>
      <c r="F38" s="505"/>
      <c r="G38" s="229" t="str">
        <f ca="1">IFERROR(IF(VLOOKUP('Data Entry Form'!$BO42,tblData[],COLUMN(INDIRECT("tblData[[Date of Birth]]")),0)=0,"",VLOOKUP('Data Entry Form'!$BO42,tblData[],COLUMN(INDIRECT("tblData[[Date of Birth]]")),0)),"")</f>
        <v/>
      </c>
      <c r="H38" s="524" t="str">
        <f ca="1">IFERROR(IF(VLOOKUP('Data Entry Form'!$BO42,tblData[],COLUMN(INDIRECT("tblData[[Best results]]")),0)=0,"",VLOOKUP('Data Entry Form'!$BO42,tblData[],COLUMN(INDIRECT("tblData[[Best results]]")),0)),"")</f>
        <v/>
      </c>
      <c r="I38" s="524"/>
      <c r="J38" s="230" t="str">
        <f ca="1">IFERROR(IF(VLOOKUP('Data Entry Form'!$BO42,tblData[],COLUMN(INDIRECT("tblData[[Training Camp]]")),0)=0,"NO",VLOOKUP('Data Entry Form'!$BO42,tblData[],COLUMN(INDIRECT("tblData[[Training Camp]]")),0)),"")</f>
        <v/>
      </c>
    </row>
    <row r="39" spans="1:10" s="109" customFormat="1" ht="15" customHeight="1">
      <c r="A39" s="222">
        <f t="shared" si="0"/>
        <v>30</v>
      </c>
      <c r="B39" s="223" t="str">
        <f ca="1">IFERROR(VLOOKUP('Data Entry Form'!$BO43,tblData[],COLUMN(INDIRECT("tblData[[SubType1]]")),0),"")</f>
        <v/>
      </c>
      <c r="C39" s="505" t="str">
        <f ca="1">IFERROR(VLOOKUP('Data Entry Form'!$BO43,tblData[],COLUMN(INDIRECT("tblData[[Surname]]")),0),"")</f>
        <v/>
      </c>
      <c r="D39" s="505"/>
      <c r="E39" s="505" t="str">
        <f ca="1">IFERROR(VLOOKUP('Data Entry Form'!$BO43,tblData[],COLUMN(INDIRECT("tblData[[Given name]]")),0),"")</f>
        <v/>
      </c>
      <c r="F39" s="505"/>
      <c r="G39" s="229" t="str">
        <f ca="1">IFERROR(IF(VLOOKUP('Data Entry Form'!$BO43,tblData[],COLUMN(INDIRECT("tblData[[Date of Birth]]")),0)=0,"",VLOOKUP('Data Entry Form'!$BO43,tblData[],COLUMN(INDIRECT("tblData[[Date of Birth]]")),0)),"")</f>
        <v/>
      </c>
      <c r="H39" s="524" t="str">
        <f ca="1">IFERROR(IF(VLOOKUP('Data Entry Form'!$BO43,tblData[],COLUMN(INDIRECT("tblData[[Best results]]")),0)=0,"",VLOOKUP('Data Entry Form'!$BO43,tblData[],COLUMN(INDIRECT("tblData[[Best results]]")),0)),"")</f>
        <v/>
      </c>
      <c r="I39" s="524"/>
      <c r="J39" s="230" t="str">
        <f ca="1">IFERROR(IF(VLOOKUP('Data Entry Form'!$BO43,tblData[],COLUMN(INDIRECT("tblData[[Training Camp]]")),0)=0,"NO",VLOOKUP('Data Entry Form'!$BO43,tblData[],COLUMN(INDIRECT("tblData[[Training Camp]]")),0)),"")</f>
        <v/>
      </c>
    </row>
    <row r="40" spans="1:10" s="109" customFormat="1" ht="15" customHeight="1">
      <c r="A40" s="222">
        <f t="shared" si="0"/>
        <v>31</v>
      </c>
      <c r="B40" s="223" t="str">
        <f ca="1">IFERROR(VLOOKUP('Data Entry Form'!$BO44,tblData[],COLUMN(INDIRECT("tblData[[SubType1]]")),0),"")</f>
        <v/>
      </c>
      <c r="C40" s="505" t="str">
        <f ca="1">IFERROR(VLOOKUP('Data Entry Form'!$BO44,tblData[],COLUMN(INDIRECT("tblData[[Surname]]")),0),"")</f>
        <v/>
      </c>
      <c r="D40" s="505"/>
      <c r="E40" s="505" t="str">
        <f ca="1">IFERROR(VLOOKUP('Data Entry Form'!$BO44,tblData[],COLUMN(INDIRECT("tblData[[Given name]]")),0),"")</f>
        <v/>
      </c>
      <c r="F40" s="505"/>
      <c r="G40" s="229" t="str">
        <f ca="1">IFERROR(IF(VLOOKUP('Data Entry Form'!$BO44,tblData[],COLUMN(INDIRECT("tblData[[Date of Birth]]")),0)=0,"",VLOOKUP('Data Entry Form'!$BO44,tblData[],COLUMN(INDIRECT("tblData[[Date of Birth]]")),0)),"")</f>
        <v/>
      </c>
      <c r="H40" s="524" t="str">
        <f ca="1">IFERROR(IF(VLOOKUP('Data Entry Form'!$BO44,tblData[],COLUMN(INDIRECT("tblData[[Best results]]")),0)=0,"",VLOOKUP('Data Entry Form'!$BO44,tblData[],COLUMN(INDIRECT("tblData[[Best results]]")),0)),"")</f>
        <v/>
      </c>
      <c r="I40" s="524"/>
      <c r="J40" s="230" t="str">
        <f ca="1">IFERROR(IF(VLOOKUP('Data Entry Form'!$BO44,tblData[],COLUMN(INDIRECT("tblData[[Training Camp]]")),0)=0,"NO",VLOOKUP('Data Entry Form'!$BO44,tblData[],COLUMN(INDIRECT("tblData[[Training Camp]]")),0)),"")</f>
        <v/>
      </c>
    </row>
    <row r="41" spans="1:10" s="109" customFormat="1" ht="15" customHeight="1">
      <c r="A41" s="222">
        <f t="shared" si="0"/>
        <v>32</v>
      </c>
      <c r="B41" s="223" t="str">
        <f ca="1">IFERROR(VLOOKUP('Data Entry Form'!$BO45,tblData[],COLUMN(INDIRECT("tblData[[SubType1]]")),0),"")</f>
        <v/>
      </c>
      <c r="C41" s="505" t="str">
        <f ca="1">IFERROR(VLOOKUP('Data Entry Form'!$BO45,tblData[],COLUMN(INDIRECT("tblData[[Surname]]")),0),"")</f>
        <v/>
      </c>
      <c r="D41" s="505"/>
      <c r="E41" s="505" t="str">
        <f ca="1">IFERROR(VLOOKUP('Data Entry Form'!$BO45,tblData[],COLUMN(INDIRECT("tblData[[Given name]]")),0),"")</f>
        <v/>
      </c>
      <c r="F41" s="505"/>
      <c r="G41" s="229" t="str">
        <f ca="1">IFERROR(IF(VLOOKUP('Data Entry Form'!$BO45,tblData[],COLUMN(INDIRECT("tblData[[Date of Birth]]")),0)=0,"",VLOOKUP('Data Entry Form'!$BO45,tblData[],COLUMN(INDIRECT("tblData[[Date of Birth]]")),0)),"")</f>
        <v/>
      </c>
      <c r="H41" s="524" t="str">
        <f ca="1">IFERROR(IF(VLOOKUP('Data Entry Form'!$BO45,tblData[],COLUMN(INDIRECT("tblData[[Best results]]")),0)=0,"",VLOOKUP('Data Entry Form'!$BO45,tblData[],COLUMN(INDIRECT("tblData[[Best results]]")),0)),"")</f>
        <v/>
      </c>
      <c r="I41" s="524"/>
      <c r="J41" s="230" t="str">
        <f ca="1">IFERROR(IF(VLOOKUP('Data Entry Form'!$BO45,tblData[],COLUMN(INDIRECT("tblData[[Training Camp]]")),0)=0,"NO",VLOOKUP('Data Entry Form'!$BO45,tblData[],COLUMN(INDIRECT("tblData[[Training Camp]]")),0)),"")</f>
        <v/>
      </c>
    </row>
    <row r="42" spans="1:10" s="109" customFormat="1" ht="15" customHeight="1">
      <c r="A42" s="222">
        <f t="shared" si="0"/>
        <v>33</v>
      </c>
      <c r="B42" s="223" t="str">
        <f ca="1">IFERROR(VLOOKUP('Data Entry Form'!$BO46,tblData[],COLUMN(INDIRECT("tblData[[SubType1]]")),0),"")</f>
        <v/>
      </c>
      <c r="C42" s="505" t="str">
        <f ca="1">IFERROR(VLOOKUP('Data Entry Form'!$BO46,tblData[],COLUMN(INDIRECT("tblData[[Surname]]")),0),"")</f>
        <v/>
      </c>
      <c r="D42" s="505"/>
      <c r="E42" s="505" t="str">
        <f ca="1">IFERROR(VLOOKUP('Data Entry Form'!$BO46,tblData[],COLUMN(INDIRECT("tblData[[Given name]]")),0),"")</f>
        <v/>
      </c>
      <c r="F42" s="505"/>
      <c r="G42" s="229" t="str">
        <f ca="1">IFERROR(IF(VLOOKUP('Data Entry Form'!$BO46,tblData[],COLUMN(INDIRECT("tblData[[Date of Birth]]")),0)=0,"",VLOOKUP('Data Entry Form'!$BO46,tblData[],COLUMN(INDIRECT("tblData[[Date of Birth]]")),0)),"")</f>
        <v/>
      </c>
      <c r="H42" s="524" t="str">
        <f ca="1">IFERROR(IF(VLOOKUP('Data Entry Form'!$BO46,tblData[],COLUMN(INDIRECT("tblData[[Best results]]")),0)=0,"",VLOOKUP('Data Entry Form'!$BO46,tblData[],COLUMN(INDIRECT("tblData[[Best results]]")),0)),"")</f>
        <v/>
      </c>
      <c r="I42" s="524"/>
      <c r="J42" s="230" t="str">
        <f ca="1">IFERROR(IF(VLOOKUP('Data Entry Form'!$BO46,tblData[],COLUMN(INDIRECT("tblData[[Training Camp]]")),0)=0,"NO",VLOOKUP('Data Entry Form'!$BO46,tblData[],COLUMN(INDIRECT("tblData[[Training Camp]]")),0)),"")</f>
        <v/>
      </c>
    </row>
    <row r="43" spans="1:10" s="109" customFormat="1" ht="15" customHeight="1">
      <c r="A43" s="222">
        <f t="shared" si="0"/>
        <v>34</v>
      </c>
      <c r="B43" s="223" t="str">
        <f ca="1">IFERROR(VLOOKUP('Data Entry Form'!$BO47,tblData[],COLUMN(INDIRECT("tblData[[SubType1]]")),0),"")</f>
        <v/>
      </c>
      <c r="C43" s="505" t="str">
        <f ca="1">IFERROR(VLOOKUP('Data Entry Form'!$BO47,tblData[],COLUMN(INDIRECT("tblData[[Surname]]")),0),"")</f>
        <v/>
      </c>
      <c r="D43" s="505"/>
      <c r="E43" s="505" t="str">
        <f ca="1">IFERROR(VLOOKUP('Data Entry Form'!$BO47,tblData[],COLUMN(INDIRECT("tblData[[Given name]]")),0),"")</f>
        <v/>
      </c>
      <c r="F43" s="505"/>
      <c r="G43" s="229" t="str">
        <f ca="1">IFERROR(IF(VLOOKUP('Data Entry Form'!$BO47,tblData[],COLUMN(INDIRECT("tblData[[Date of Birth]]")),0)=0,"",VLOOKUP('Data Entry Form'!$BO47,tblData[],COLUMN(INDIRECT("tblData[[Date of Birth]]")),0)),"")</f>
        <v/>
      </c>
      <c r="H43" s="524" t="str">
        <f ca="1">IFERROR(IF(VLOOKUP('Data Entry Form'!$BO47,tblData[],COLUMN(INDIRECT("tblData[[Best results]]")),0)=0,"",VLOOKUP('Data Entry Form'!$BO47,tblData[],COLUMN(INDIRECT("tblData[[Best results]]")),0)),"")</f>
        <v/>
      </c>
      <c r="I43" s="524"/>
      <c r="J43" s="230" t="str">
        <f ca="1">IFERROR(IF(VLOOKUP('Data Entry Form'!$BO47,tblData[],COLUMN(INDIRECT("tblData[[Training Camp]]")),0)=0,"NO",VLOOKUP('Data Entry Form'!$BO47,tblData[],COLUMN(INDIRECT("tblData[[Training Camp]]")),0)),"")</f>
        <v/>
      </c>
    </row>
    <row r="44" spans="1:10" s="109" customFormat="1" ht="15" customHeight="1">
      <c r="A44" s="222">
        <f t="shared" si="0"/>
        <v>35</v>
      </c>
      <c r="B44" s="223" t="str">
        <f ca="1">IFERROR(VLOOKUP('Data Entry Form'!$BO48,tblData[],COLUMN(INDIRECT("tblData[[SubType1]]")),0),"")</f>
        <v/>
      </c>
      <c r="C44" s="505" t="str">
        <f ca="1">IFERROR(VLOOKUP('Data Entry Form'!$BO48,tblData[],COLUMN(INDIRECT("tblData[[Surname]]")),0),"")</f>
        <v/>
      </c>
      <c r="D44" s="505"/>
      <c r="E44" s="505" t="str">
        <f ca="1">IFERROR(VLOOKUP('Data Entry Form'!$BO48,tblData[],COLUMN(INDIRECT("tblData[[Given name]]")),0),"")</f>
        <v/>
      </c>
      <c r="F44" s="505"/>
      <c r="G44" s="229" t="str">
        <f ca="1">IFERROR(IF(VLOOKUP('Data Entry Form'!$BO48,tblData[],COLUMN(INDIRECT("tblData[[Date of Birth]]")),0)=0,"",VLOOKUP('Data Entry Form'!$BO48,tblData[],COLUMN(INDIRECT("tblData[[Date of Birth]]")),0)),"")</f>
        <v/>
      </c>
      <c r="H44" s="524" t="str">
        <f ca="1">IFERROR(IF(VLOOKUP('Data Entry Form'!$BO48,tblData[],COLUMN(INDIRECT("tblData[[Best results]]")),0)=0,"",VLOOKUP('Data Entry Form'!$BO48,tblData[],COLUMN(INDIRECT("tblData[[Best results]]")),0)),"")</f>
        <v/>
      </c>
      <c r="I44" s="524"/>
      <c r="J44" s="230" t="str">
        <f ca="1">IFERROR(IF(VLOOKUP('Data Entry Form'!$BO48,tblData[],COLUMN(INDIRECT("tblData[[Training Camp]]")),0)=0,"NO",VLOOKUP('Data Entry Form'!$BO48,tblData[],COLUMN(INDIRECT("tblData[[Training Camp]]")),0)),"")</f>
        <v/>
      </c>
    </row>
    <row r="45" spans="1:10" s="109" customFormat="1" ht="15" customHeight="1">
      <c r="A45" s="222">
        <f t="shared" si="0"/>
        <v>36</v>
      </c>
      <c r="B45" s="223" t="str">
        <f ca="1">IFERROR(VLOOKUP('Data Entry Form'!$BO49,tblData[],COLUMN(INDIRECT("tblData[[SubType1]]")),0),"")</f>
        <v/>
      </c>
      <c r="C45" s="505" t="str">
        <f ca="1">IFERROR(VLOOKUP('Data Entry Form'!$BO49,tblData[],COLUMN(INDIRECT("tblData[[Surname]]")),0),"")</f>
        <v/>
      </c>
      <c r="D45" s="505"/>
      <c r="E45" s="505" t="str">
        <f ca="1">IFERROR(VLOOKUP('Data Entry Form'!$BO49,tblData[],COLUMN(INDIRECT("tblData[[Given name]]")),0),"")</f>
        <v/>
      </c>
      <c r="F45" s="505"/>
      <c r="G45" s="229" t="str">
        <f ca="1">IFERROR(IF(VLOOKUP('Data Entry Form'!$BO49,tblData[],COLUMN(INDIRECT("tblData[[Date of Birth]]")),0)=0,"",VLOOKUP('Data Entry Form'!$BO49,tblData[],COLUMN(INDIRECT("tblData[[Date of Birth]]")),0)),"")</f>
        <v/>
      </c>
      <c r="H45" s="524" t="str">
        <f ca="1">IFERROR(IF(VLOOKUP('Data Entry Form'!$BO49,tblData[],COLUMN(INDIRECT("tblData[[Best results]]")),0)=0,"",VLOOKUP('Data Entry Form'!$BO49,tblData[],COLUMN(INDIRECT("tblData[[Best results]]")),0)),"")</f>
        <v/>
      </c>
      <c r="I45" s="524"/>
      <c r="J45" s="230" t="str">
        <f ca="1">IFERROR(IF(VLOOKUP('Data Entry Form'!$BO49,tblData[],COLUMN(INDIRECT("tblData[[Training Camp]]")),0)=0,"NO",VLOOKUP('Data Entry Form'!$BO49,tblData[],COLUMN(INDIRECT("tblData[[Training Camp]]")),0)),"")</f>
        <v/>
      </c>
    </row>
    <row r="46" spans="1:10" s="109" customFormat="1" ht="15" customHeight="1">
      <c r="A46" s="222">
        <f t="shared" si="0"/>
        <v>37</v>
      </c>
      <c r="B46" s="223" t="str">
        <f ca="1">IFERROR(VLOOKUP('Data Entry Form'!$BO50,tblData[],COLUMN(INDIRECT("tblData[[SubType1]]")),0),"")</f>
        <v/>
      </c>
      <c r="C46" s="505" t="str">
        <f ca="1">IFERROR(VLOOKUP('Data Entry Form'!$BO50,tblData[],COLUMN(INDIRECT("tblData[[Surname]]")),0),"")</f>
        <v/>
      </c>
      <c r="D46" s="505"/>
      <c r="E46" s="505" t="str">
        <f ca="1">IFERROR(VLOOKUP('Data Entry Form'!$BO50,tblData[],COLUMN(INDIRECT("tblData[[Given name]]")),0),"")</f>
        <v/>
      </c>
      <c r="F46" s="505"/>
      <c r="G46" s="229" t="str">
        <f ca="1">IFERROR(IF(VLOOKUP('Data Entry Form'!$BO50,tblData[],COLUMN(INDIRECT("tblData[[Date of Birth]]")),0)=0,"",VLOOKUP('Data Entry Form'!$BO50,tblData[],COLUMN(INDIRECT("tblData[[Date of Birth]]")),0)),"")</f>
        <v/>
      </c>
      <c r="H46" s="524" t="str">
        <f ca="1">IFERROR(IF(VLOOKUP('Data Entry Form'!$BO50,tblData[],COLUMN(INDIRECT("tblData[[Best results]]")),0)=0,"",VLOOKUP('Data Entry Form'!$BO50,tblData[],COLUMN(INDIRECT("tblData[[Best results]]")),0)),"")</f>
        <v/>
      </c>
      <c r="I46" s="524"/>
      <c r="J46" s="230" t="str">
        <f ca="1">IFERROR(IF(VLOOKUP('Data Entry Form'!$BO50,tblData[],COLUMN(INDIRECT("tblData[[Training Camp]]")),0)=0,"NO",VLOOKUP('Data Entry Form'!$BO50,tblData[],COLUMN(INDIRECT("tblData[[Training Camp]]")),0)),"")</f>
        <v/>
      </c>
    </row>
    <row r="47" spans="1:10" s="109" customFormat="1" ht="15" customHeight="1">
      <c r="A47" s="222">
        <f t="shared" si="0"/>
        <v>38</v>
      </c>
      <c r="B47" s="223" t="str">
        <f ca="1">IFERROR(VLOOKUP('Data Entry Form'!$BO51,tblData[],COLUMN(INDIRECT("tblData[[SubType1]]")),0),"")</f>
        <v/>
      </c>
      <c r="C47" s="505" t="str">
        <f ca="1">IFERROR(VLOOKUP('Data Entry Form'!$BO51,tblData[],COLUMN(INDIRECT("tblData[[Surname]]")),0),"")</f>
        <v/>
      </c>
      <c r="D47" s="505"/>
      <c r="E47" s="505" t="str">
        <f ca="1">IFERROR(VLOOKUP('Data Entry Form'!$BO51,tblData[],COLUMN(INDIRECT("tblData[[Given name]]")),0),"")</f>
        <v/>
      </c>
      <c r="F47" s="505"/>
      <c r="G47" s="229" t="str">
        <f ca="1">IFERROR(IF(VLOOKUP('Data Entry Form'!$BO51,tblData[],COLUMN(INDIRECT("tblData[[Date of Birth]]")),0)=0,"",VLOOKUP('Data Entry Form'!$BO51,tblData[],COLUMN(INDIRECT("tblData[[Date of Birth]]")),0)),"")</f>
        <v/>
      </c>
      <c r="H47" s="524" t="str">
        <f ca="1">IFERROR(IF(VLOOKUP('Data Entry Form'!$BO51,tblData[],COLUMN(INDIRECT("tblData[[Best results]]")),0)=0,"",VLOOKUP('Data Entry Form'!$BO51,tblData[],COLUMN(INDIRECT("tblData[[Best results]]")),0)),"")</f>
        <v/>
      </c>
      <c r="I47" s="524"/>
      <c r="J47" s="230" t="str">
        <f ca="1">IFERROR(IF(VLOOKUP('Data Entry Form'!$BO51,tblData[],COLUMN(INDIRECT("tblData[[Training Camp]]")),0)=0,"NO",VLOOKUP('Data Entry Form'!$BO51,tblData[],COLUMN(INDIRECT("tblData[[Training Camp]]")),0)),"")</f>
        <v/>
      </c>
    </row>
    <row r="48" spans="1:10" s="109" customFormat="1" ht="15" customHeight="1">
      <c r="A48" s="222">
        <f t="shared" si="0"/>
        <v>39</v>
      </c>
      <c r="B48" s="223" t="str">
        <f ca="1">IFERROR(VLOOKUP('Data Entry Form'!$BO52,tblData[],COLUMN(INDIRECT("tblData[[SubType1]]")),0),"")</f>
        <v/>
      </c>
      <c r="C48" s="505" t="str">
        <f ca="1">IFERROR(VLOOKUP('Data Entry Form'!$BO52,tblData[],COLUMN(INDIRECT("tblData[[Surname]]")),0),"")</f>
        <v/>
      </c>
      <c r="D48" s="505"/>
      <c r="E48" s="505" t="str">
        <f ca="1">IFERROR(VLOOKUP('Data Entry Form'!$BO52,tblData[],COLUMN(INDIRECT("tblData[[Given name]]")),0),"")</f>
        <v/>
      </c>
      <c r="F48" s="505"/>
      <c r="G48" s="229" t="str">
        <f ca="1">IFERROR(IF(VLOOKUP('Data Entry Form'!$BO52,tblData[],COLUMN(INDIRECT("tblData[[Date of Birth]]")),0)=0,"",VLOOKUP('Data Entry Form'!$BO52,tblData[],COLUMN(INDIRECT("tblData[[Date of Birth]]")),0)),"")</f>
        <v/>
      </c>
      <c r="H48" s="524" t="str">
        <f ca="1">IFERROR(IF(VLOOKUP('Data Entry Form'!$BO52,tblData[],COLUMN(INDIRECT("tblData[[Best results]]")),0)=0,"",VLOOKUP('Data Entry Form'!$BO52,tblData[],COLUMN(INDIRECT("tblData[[Best results]]")),0)),"")</f>
        <v/>
      </c>
      <c r="I48" s="524"/>
      <c r="J48" s="230" t="str">
        <f ca="1">IFERROR(IF(VLOOKUP('Data Entry Form'!$BO52,tblData[],COLUMN(INDIRECT("tblData[[Training Camp]]")),0)=0,"NO",VLOOKUP('Data Entry Form'!$BO52,tblData[],COLUMN(INDIRECT("tblData[[Training Camp]]")),0)),"")</f>
        <v/>
      </c>
    </row>
    <row r="49" spans="1:10" s="109" customFormat="1" ht="15" customHeight="1" thickBot="1">
      <c r="A49" s="224">
        <f t="shared" si="0"/>
        <v>40</v>
      </c>
      <c r="B49" s="225" t="str">
        <f ca="1">IFERROR(VLOOKUP('Data Entry Form'!$BO53,tblData[],COLUMN(INDIRECT("tblData[[SubType1]]")),0),"")</f>
        <v/>
      </c>
      <c r="C49" s="506" t="str">
        <f ca="1">IFERROR(VLOOKUP('Data Entry Form'!$BO53,tblData[],COLUMN(INDIRECT("tblData[[Surname]]")),0),"")</f>
        <v/>
      </c>
      <c r="D49" s="506"/>
      <c r="E49" s="506" t="str">
        <f ca="1">IFERROR(VLOOKUP('Data Entry Form'!$BO53,tblData[],COLUMN(INDIRECT("tblData[[Given name]]")),0),"")</f>
        <v/>
      </c>
      <c r="F49" s="506"/>
      <c r="G49" s="231" t="str">
        <f ca="1">IFERROR(IF(VLOOKUP('Data Entry Form'!$BO53,tblData[],COLUMN(INDIRECT("tblData[[Date of Birth]]")),0)=0,"",VLOOKUP('Data Entry Form'!$BO53,tblData[],COLUMN(INDIRECT("tblData[[Date of Birth]]")),0)),"")</f>
        <v/>
      </c>
      <c r="H49" s="523" t="str">
        <f ca="1">IFERROR(IF(VLOOKUP('Data Entry Form'!$BO53,tblData[],COLUMN(INDIRECT("tblData[[Best results]]")),0)=0,"",VLOOKUP('Data Entry Form'!$BO53,tblData[],COLUMN(INDIRECT("tblData[[Best results]]")),0)),"")</f>
        <v/>
      </c>
      <c r="I49" s="523"/>
      <c r="J49" s="232" t="str">
        <f ca="1">IFERROR(IF(VLOOKUP('Data Entry Form'!$BO53,tblData[],COLUMN(INDIRECT("tblData[[Training Camp]]")),0)=0,"NO",VLOOKUP('Data Entry Form'!$BO53,tblData[],COLUMN(INDIRECT("tblData[[Training Camp]]")),0)),"")</f>
        <v/>
      </c>
    </row>
  </sheetData>
  <sheetProtection password="E8E9" sheet="1" objects="1" scenarios="1"/>
  <mergeCells count="129">
    <mergeCell ref="C36:D36"/>
    <mergeCell ref="E36:F36"/>
    <mergeCell ref="H36:I36"/>
    <mergeCell ref="C39:D39"/>
    <mergeCell ref="E39:F39"/>
    <mergeCell ref="H39:I39"/>
    <mergeCell ref="C37:D37"/>
    <mergeCell ref="E37:F37"/>
    <mergeCell ref="H37:I37"/>
    <mergeCell ref="C38:D38"/>
    <mergeCell ref="E38:F38"/>
    <mergeCell ref="H38:I38"/>
    <mergeCell ref="C33:D33"/>
    <mergeCell ref="E33:F33"/>
    <mergeCell ref="H33:I33"/>
    <mergeCell ref="C34:D34"/>
    <mergeCell ref="E34:F34"/>
    <mergeCell ref="H34:I34"/>
    <mergeCell ref="C35:D35"/>
    <mergeCell ref="E35:F35"/>
    <mergeCell ref="H35:I35"/>
    <mergeCell ref="C30:D30"/>
    <mergeCell ref="E30:F30"/>
    <mergeCell ref="H30:I30"/>
    <mergeCell ref="C31:D31"/>
    <mergeCell ref="E31:F31"/>
    <mergeCell ref="H31:I31"/>
    <mergeCell ref="C32:D32"/>
    <mergeCell ref="E32:F32"/>
    <mergeCell ref="H32:I32"/>
    <mergeCell ref="C27:D27"/>
    <mergeCell ref="E27:F27"/>
    <mergeCell ref="H27:I27"/>
    <mergeCell ref="C28:D28"/>
    <mergeCell ref="E28:F28"/>
    <mergeCell ref="H28:I28"/>
    <mergeCell ref="C29:D29"/>
    <mergeCell ref="E29:F29"/>
    <mergeCell ref="H29:I29"/>
    <mergeCell ref="C24:D24"/>
    <mergeCell ref="E24:F24"/>
    <mergeCell ref="H24:I24"/>
    <mergeCell ref="C25:D25"/>
    <mergeCell ref="E25:F25"/>
    <mergeCell ref="H25:I25"/>
    <mergeCell ref="C26:D26"/>
    <mergeCell ref="E26:F26"/>
    <mergeCell ref="H26:I26"/>
    <mergeCell ref="C21:D21"/>
    <mergeCell ref="E21:F21"/>
    <mergeCell ref="H21:I21"/>
    <mergeCell ref="C22:D22"/>
    <mergeCell ref="E22:F22"/>
    <mergeCell ref="H22:I22"/>
    <mergeCell ref="C23:D23"/>
    <mergeCell ref="E23:F23"/>
    <mergeCell ref="H23:I23"/>
    <mergeCell ref="C18:D18"/>
    <mergeCell ref="E18:F18"/>
    <mergeCell ref="H18:I18"/>
    <mergeCell ref="C19:D19"/>
    <mergeCell ref="E19:F19"/>
    <mergeCell ref="H19:I19"/>
    <mergeCell ref="C20:D20"/>
    <mergeCell ref="E20:F20"/>
    <mergeCell ref="H20:I20"/>
    <mergeCell ref="C15:D15"/>
    <mergeCell ref="E15:F15"/>
    <mergeCell ref="H15:I15"/>
    <mergeCell ref="C16:D16"/>
    <mergeCell ref="E16:F16"/>
    <mergeCell ref="H16:I16"/>
    <mergeCell ref="C17:D17"/>
    <mergeCell ref="E17:F17"/>
    <mergeCell ref="H17:I17"/>
    <mergeCell ref="C12:D12"/>
    <mergeCell ref="E12:F12"/>
    <mergeCell ref="H12:I12"/>
    <mergeCell ref="C13:D13"/>
    <mergeCell ref="E13:F13"/>
    <mergeCell ref="H13:I13"/>
    <mergeCell ref="C14:D14"/>
    <mergeCell ref="E14:F14"/>
    <mergeCell ref="H14:I14"/>
    <mergeCell ref="C41:D41"/>
    <mergeCell ref="E41:F41"/>
    <mergeCell ref="H41:I41"/>
    <mergeCell ref="C42:D42"/>
    <mergeCell ref="E42:F42"/>
    <mergeCell ref="H42:I42"/>
    <mergeCell ref="A1:J1"/>
    <mergeCell ref="A2:J2"/>
    <mergeCell ref="C40:D40"/>
    <mergeCell ref="E40:F40"/>
    <mergeCell ref="H40:I40"/>
    <mergeCell ref="A4:J4"/>
    <mergeCell ref="A5:J5"/>
    <mergeCell ref="A7:C7"/>
    <mergeCell ref="D7:J7"/>
    <mergeCell ref="C9:D9"/>
    <mergeCell ref="E9:F9"/>
    <mergeCell ref="H9:I9"/>
    <mergeCell ref="C10:D10"/>
    <mergeCell ref="E10:F10"/>
    <mergeCell ref="H10:I10"/>
    <mergeCell ref="C11:D11"/>
    <mergeCell ref="E11:F11"/>
    <mergeCell ref="H11:I11"/>
    <mergeCell ref="C45:D45"/>
    <mergeCell ref="E45:F45"/>
    <mergeCell ref="H45:I45"/>
    <mergeCell ref="C46:D46"/>
    <mergeCell ref="E46:F46"/>
    <mergeCell ref="H46:I46"/>
    <mergeCell ref="C43:D43"/>
    <mergeCell ref="E43:F43"/>
    <mergeCell ref="H43:I43"/>
    <mergeCell ref="C44:D44"/>
    <mergeCell ref="E44:F44"/>
    <mergeCell ref="H44:I44"/>
    <mergeCell ref="C49:D49"/>
    <mergeCell ref="E49:F49"/>
    <mergeCell ref="H49:I49"/>
    <mergeCell ref="C47:D47"/>
    <mergeCell ref="E47:F47"/>
    <mergeCell ref="H47:I47"/>
    <mergeCell ref="C48:D48"/>
    <mergeCell ref="E48:F48"/>
    <mergeCell ref="H48:I48"/>
  </mergeCells>
  <phoneticPr fontId="8" type="noConversion"/>
  <printOptions horizontalCentered="1"/>
  <pageMargins left="0.78740157480314965" right="0.39370078740157483" top="0.39370078740157483" bottom="0.59055118110236227" header="0.19685039370078741" footer="0.19685039370078741"/>
  <pageSetup paperSize="9" scale="97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Tabelle5">
    <tabColor rgb="FF145A99"/>
    <pageSetUpPr fitToPage="1"/>
  </sheetPr>
  <dimension ref="A1:J49"/>
  <sheetViews>
    <sheetView showGridLines="0" showRowColHeaders="0" workbookViewId="0">
      <selection activeCell="D7" sqref="D7:J7"/>
    </sheetView>
  </sheetViews>
  <sheetFormatPr baseColWidth="10" defaultColWidth="10.875" defaultRowHeight="12.75"/>
  <cols>
    <col min="1" max="1" width="3.5" style="96" customWidth="1"/>
    <col min="2" max="2" width="7.125" style="96" customWidth="1"/>
    <col min="3" max="3" width="10.125" style="96" customWidth="1"/>
    <col min="4" max="4" width="7.875" style="96" customWidth="1"/>
    <col min="5" max="5" width="9" style="96" customWidth="1"/>
    <col min="6" max="6" width="6.5" style="96" customWidth="1"/>
    <col min="7" max="7" width="10" style="96" customWidth="1"/>
    <col min="8" max="8" width="9" style="96" customWidth="1"/>
    <col min="9" max="9" width="10.875" style="96" customWidth="1"/>
    <col min="10" max="10" width="11" style="96" customWidth="1"/>
    <col min="11" max="11" width="9.125" style="96" customWidth="1"/>
    <col min="12" max="16384" width="10.875" style="96"/>
  </cols>
  <sheetData>
    <row r="1" spans="1:10" ht="26.25">
      <c r="A1" s="499" t="str">
        <f>Header1</f>
        <v>JUNIOR EUROPEAN JUDO CUP</v>
      </c>
      <c r="B1" s="499"/>
      <c r="C1" s="499"/>
      <c r="D1" s="499"/>
      <c r="E1" s="499"/>
      <c r="F1" s="499"/>
      <c r="G1" s="499"/>
      <c r="H1" s="499"/>
      <c r="I1" s="499"/>
      <c r="J1" s="499"/>
    </row>
    <row r="2" spans="1:10" ht="38.1" customHeight="1">
      <c r="A2" s="500" t="str">
        <f>Header2</f>
        <v>IJF WORLD JUNIOR TOUR, June, 02 and 03, 2018 
EJU JUNIOR TRAINING CAMP, June 04 to 06, 2018 (Leibnitz - Austria)</v>
      </c>
      <c r="B2" s="500"/>
      <c r="C2" s="500"/>
      <c r="D2" s="500"/>
      <c r="E2" s="500"/>
      <c r="F2" s="500"/>
      <c r="G2" s="500"/>
      <c r="H2" s="500"/>
      <c r="I2" s="500"/>
      <c r="J2" s="500"/>
    </row>
    <row r="3" spans="1:10" ht="8.1" customHeight="1"/>
    <row r="4" spans="1:10" ht="15.75">
      <c r="A4" s="515" t="s">
        <v>101</v>
      </c>
      <c r="B4" s="515"/>
      <c r="C4" s="515"/>
      <c r="D4" s="515"/>
      <c r="E4" s="515"/>
      <c r="F4" s="515"/>
      <c r="G4" s="515"/>
      <c r="H4" s="515"/>
      <c r="I4" s="515"/>
      <c r="J4" s="515"/>
    </row>
    <row r="5" spans="1:10" ht="15.75">
      <c r="A5" s="516" t="s">
        <v>158</v>
      </c>
      <c r="B5" s="515"/>
      <c r="C5" s="515"/>
      <c r="D5" s="515"/>
      <c r="E5" s="515"/>
      <c r="F5" s="515"/>
      <c r="G5" s="515"/>
      <c r="H5" s="515"/>
      <c r="I5" s="515"/>
      <c r="J5" s="515"/>
    </row>
    <row r="6" spans="1:10" ht="8.1" customHeight="1" thickBot="1"/>
    <row r="7" spans="1:10" ht="15.95" customHeight="1" thickBot="1">
      <c r="A7" s="535" t="s">
        <v>84</v>
      </c>
      <c r="B7" s="536"/>
      <c r="C7" s="537"/>
      <c r="D7" s="538" t="str">
        <f>IF(ISBLANK(Federation),"",Federation)</f>
        <v/>
      </c>
      <c r="E7" s="539"/>
      <c r="F7" s="539"/>
      <c r="G7" s="539"/>
      <c r="H7" s="539"/>
      <c r="I7" s="539"/>
      <c r="J7" s="540"/>
    </row>
    <row r="8" spans="1:10" ht="8.1" customHeight="1" thickBot="1"/>
    <row r="9" spans="1:10" ht="32.1" customHeight="1" thickBot="1">
      <c r="A9" s="226"/>
      <c r="B9" s="227" t="s">
        <v>108</v>
      </c>
      <c r="C9" s="541" t="s">
        <v>281</v>
      </c>
      <c r="D9" s="541"/>
      <c r="E9" s="541" t="s">
        <v>282</v>
      </c>
      <c r="F9" s="541"/>
      <c r="G9" s="227" t="s">
        <v>109</v>
      </c>
      <c r="H9" s="541" t="s">
        <v>110</v>
      </c>
      <c r="I9" s="541"/>
      <c r="J9" s="228" t="s">
        <v>111</v>
      </c>
    </row>
    <row r="10" spans="1:10" s="109" customFormat="1" ht="15" customHeight="1">
      <c r="A10" s="97">
        <v>1</v>
      </c>
      <c r="B10" s="98" t="str">
        <f ca="1">IFERROR(VLOOKUP('Data Entry Form'!$BS14,tblData[],COLUMN(INDIRECT("tblData[[SubType1]]")),0),"")</f>
        <v/>
      </c>
      <c r="C10" s="542" t="str">
        <f ca="1">IFERROR(VLOOKUP('Data Entry Form'!$BS14,tblData[],COLUMN(INDIRECT("tblData[[Surname]]")),0),"")</f>
        <v/>
      </c>
      <c r="D10" s="542"/>
      <c r="E10" s="542" t="str">
        <f ca="1">IFERROR(VLOOKUP('Data Entry Form'!$BS14,tblData[],COLUMN(INDIRECT("tblData[[Given name]]")),0),"")</f>
        <v/>
      </c>
      <c r="F10" s="542"/>
      <c r="G10" s="103" t="str">
        <f ca="1">IFERROR(IF(VLOOKUP('Data Entry Form'!$BS14,tblData[],COLUMN(INDIRECT("tblData[[Date of Birth]]")),0)=0,"",VLOOKUP('Data Entry Form'!$BS14,tblData[],COLUMN(INDIRECT("tblData[[Date of Birth]]")),0)),"")</f>
        <v/>
      </c>
      <c r="H10" s="543" t="str">
        <f ca="1">IFERROR(IF(VLOOKUP('Data Entry Form'!$BS14,tblData[],COLUMN(INDIRECT("tblData[[Best results]]")),0)=0,"",VLOOKUP('Data Entry Form'!$BS14,tblData[],COLUMN(INDIRECT("tblData[[Best results]]")),0)),"")</f>
        <v/>
      </c>
      <c r="I10" s="543"/>
      <c r="J10" s="104" t="str">
        <f ca="1">IFERROR(IF(VLOOKUP('Data Entry Form'!$BS14,tblData[],COLUMN(INDIRECT("tblData[[Training Camp]]")),0)=0,"NO",VLOOKUP('Data Entry Form'!$BS14,tblData[],COLUMN(INDIRECT("tblData[[Training Camp]]")),0)),"")</f>
        <v/>
      </c>
    </row>
    <row r="11" spans="1:10" s="109" customFormat="1" ht="15" customHeight="1">
      <c r="A11" s="99">
        <f>A10+1</f>
        <v>2</v>
      </c>
      <c r="B11" s="100" t="str">
        <f ca="1">IFERROR(VLOOKUP('Data Entry Form'!$BS15,tblData[],COLUMN(INDIRECT("tblData[[SubType1]]")),0),"")</f>
        <v/>
      </c>
      <c r="C11" s="531" t="str">
        <f ca="1">IFERROR(VLOOKUP('Data Entry Form'!$BS15,tblData[],COLUMN(INDIRECT("tblData[[Surname]]")),0),"")</f>
        <v/>
      </c>
      <c r="D11" s="531"/>
      <c r="E11" s="531" t="str">
        <f ca="1">IFERROR(VLOOKUP('Data Entry Form'!$BS15,tblData[],COLUMN(INDIRECT("tblData[[Given name]]")),0),"")</f>
        <v/>
      </c>
      <c r="F11" s="531"/>
      <c r="G11" s="105" t="str">
        <f ca="1">IFERROR(IF(VLOOKUP('Data Entry Form'!$BS15,tblData[],COLUMN(INDIRECT("tblData[[Date of Birth]]")),0)=0,"",VLOOKUP('Data Entry Form'!$BS15,tblData[],COLUMN(INDIRECT("tblData[[Date of Birth]]")),0)),"")</f>
        <v/>
      </c>
      <c r="H11" s="532" t="str">
        <f ca="1">IFERROR(IF(VLOOKUP('Data Entry Form'!$BS15,tblData[],COLUMN(INDIRECT("tblData[[Best results]]")),0)=0,"",VLOOKUP('Data Entry Form'!$BS15,tblData[],COLUMN(INDIRECT("tblData[[Best results]]")),0)),"")</f>
        <v/>
      </c>
      <c r="I11" s="532"/>
      <c r="J11" s="106" t="str">
        <f ca="1">IFERROR(IF(VLOOKUP('Data Entry Form'!$BS15,tblData[],COLUMN(INDIRECT("tblData[[Training Camp]]")),0)=0,"NO",VLOOKUP('Data Entry Form'!$BS15,tblData[],COLUMN(INDIRECT("tblData[[Training Camp]]")),0)),"")</f>
        <v/>
      </c>
    </row>
    <row r="12" spans="1:10" s="109" customFormat="1" ht="15" customHeight="1">
      <c r="A12" s="99">
        <f t="shared" ref="A12:A49" si="0">A11+1</f>
        <v>3</v>
      </c>
      <c r="B12" s="100" t="str">
        <f ca="1">IFERROR(VLOOKUP('Data Entry Form'!$BS16,tblData[],COLUMN(INDIRECT("tblData[[SubType1]]")),0),"")</f>
        <v/>
      </c>
      <c r="C12" s="531" t="str">
        <f ca="1">IFERROR(VLOOKUP('Data Entry Form'!$BS16,tblData[],COLUMN(INDIRECT("tblData[[Surname]]")),0),"")</f>
        <v/>
      </c>
      <c r="D12" s="531"/>
      <c r="E12" s="531" t="str">
        <f ca="1">IFERROR(VLOOKUP('Data Entry Form'!$BS16,tblData[],COLUMN(INDIRECT("tblData[[Given name]]")),0),"")</f>
        <v/>
      </c>
      <c r="F12" s="531"/>
      <c r="G12" s="105" t="str">
        <f ca="1">IFERROR(IF(VLOOKUP('Data Entry Form'!$BS16,tblData[],COLUMN(INDIRECT("tblData[[Date of Birth]]")),0)=0,"",VLOOKUP('Data Entry Form'!$BS16,tblData[],COLUMN(INDIRECT("tblData[[Date of Birth]]")),0)),"")</f>
        <v/>
      </c>
      <c r="H12" s="532" t="str">
        <f ca="1">IFERROR(IF(VLOOKUP('Data Entry Form'!$BS16,tblData[],COLUMN(INDIRECT("tblData[[Best results]]")),0)=0,"",VLOOKUP('Data Entry Form'!$BS16,tblData[],COLUMN(INDIRECT("tblData[[Best results]]")),0)),"")</f>
        <v/>
      </c>
      <c r="I12" s="532"/>
      <c r="J12" s="106" t="str">
        <f ca="1">IFERROR(IF(VLOOKUP('Data Entry Form'!$BS16,tblData[],COLUMN(INDIRECT("tblData[[Training Camp]]")),0)=0,"NO",VLOOKUP('Data Entry Form'!$BS16,tblData[],COLUMN(INDIRECT("tblData[[Training Camp]]")),0)),"")</f>
        <v/>
      </c>
    </row>
    <row r="13" spans="1:10" s="109" customFormat="1" ht="15" customHeight="1">
      <c r="A13" s="99">
        <f t="shared" si="0"/>
        <v>4</v>
      </c>
      <c r="B13" s="100" t="str">
        <f ca="1">IFERROR(VLOOKUP('Data Entry Form'!$BS17,tblData[],COLUMN(INDIRECT("tblData[[SubType1]]")),0),"")</f>
        <v/>
      </c>
      <c r="C13" s="531" t="str">
        <f ca="1">IFERROR(VLOOKUP('Data Entry Form'!$BS17,tblData[],COLUMN(INDIRECT("tblData[[Surname]]")),0),"")</f>
        <v/>
      </c>
      <c r="D13" s="531"/>
      <c r="E13" s="531" t="str">
        <f ca="1">IFERROR(VLOOKUP('Data Entry Form'!$BS17,tblData[],COLUMN(INDIRECT("tblData[[Given name]]")),0),"")</f>
        <v/>
      </c>
      <c r="F13" s="531"/>
      <c r="G13" s="105" t="str">
        <f ca="1">IFERROR(IF(VLOOKUP('Data Entry Form'!$BS17,tblData[],COLUMN(INDIRECT("tblData[[Date of Birth]]")),0)=0,"",VLOOKUP('Data Entry Form'!$BS17,tblData[],COLUMN(INDIRECT("tblData[[Date of Birth]]")),0)),"")</f>
        <v/>
      </c>
      <c r="H13" s="532" t="str">
        <f ca="1">IFERROR(IF(VLOOKUP('Data Entry Form'!$BS17,tblData[],COLUMN(INDIRECT("tblData[[Best results]]")),0)=0,"",VLOOKUP('Data Entry Form'!$BS17,tblData[],COLUMN(INDIRECT("tblData[[Best results]]")),0)),"")</f>
        <v/>
      </c>
      <c r="I13" s="532"/>
      <c r="J13" s="106" t="str">
        <f ca="1">IFERROR(IF(VLOOKUP('Data Entry Form'!$BS17,tblData[],COLUMN(INDIRECT("tblData[[Training Camp]]")),0)=0,"NO",VLOOKUP('Data Entry Form'!$BS17,tblData[],COLUMN(INDIRECT("tblData[[Training Camp]]")),0)),"")</f>
        <v/>
      </c>
    </row>
    <row r="14" spans="1:10" s="109" customFormat="1" ht="15" customHeight="1">
      <c r="A14" s="99">
        <f t="shared" si="0"/>
        <v>5</v>
      </c>
      <c r="B14" s="100" t="str">
        <f ca="1">IFERROR(VLOOKUP('Data Entry Form'!$BS18,tblData[],COLUMN(INDIRECT("tblData[[SubType1]]")),0),"")</f>
        <v/>
      </c>
      <c r="C14" s="531" t="str">
        <f ca="1">IFERROR(VLOOKUP('Data Entry Form'!$BS18,tblData[],COLUMN(INDIRECT("tblData[[Surname]]")),0),"")</f>
        <v/>
      </c>
      <c r="D14" s="531"/>
      <c r="E14" s="531" t="str">
        <f ca="1">IFERROR(VLOOKUP('Data Entry Form'!$BS18,tblData[],COLUMN(INDIRECT("tblData[[Given name]]")),0),"")</f>
        <v/>
      </c>
      <c r="F14" s="531"/>
      <c r="G14" s="105" t="str">
        <f ca="1">IFERROR(IF(VLOOKUP('Data Entry Form'!$BS18,tblData[],COLUMN(INDIRECT("tblData[[Date of Birth]]")),0)=0,"",VLOOKUP('Data Entry Form'!$BS18,tblData[],COLUMN(INDIRECT("tblData[[Date of Birth]]")),0)),"")</f>
        <v/>
      </c>
      <c r="H14" s="532" t="str">
        <f ca="1">IFERROR(IF(VLOOKUP('Data Entry Form'!$BS18,tblData[],COLUMN(INDIRECT("tblData[[Best results]]")),0)=0,"",VLOOKUP('Data Entry Form'!$BS18,tblData[],COLUMN(INDIRECT("tblData[[Best results]]")),0)),"")</f>
        <v/>
      </c>
      <c r="I14" s="532"/>
      <c r="J14" s="106" t="str">
        <f ca="1">IFERROR(IF(VLOOKUP('Data Entry Form'!$BS18,tblData[],COLUMN(INDIRECT("tblData[[Training Camp]]")),0)=0,"NO",VLOOKUP('Data Entry Form'!$BS18,tblData[],COLUMN(INDIRECT("tblData[[Training Camp]]")),0)),"")</f>
        <v/>
      </c>
    </row>
    <row r="15" spans="1:10" s="109" customFormat="1" ht="15" customHeight="1">
      <c r="A15" s="99">
        <f t="shared" si="0"/>
        <v>6</v>
      </c>
      <c r="B15" s="100" t="str">
        <f ca="1">IFERROR(VLOOKUP('Data Entry Form'!$BS19,tblData[],COLUMN(INDIRECT("tblData[[SubType1]]")),0),"")</f>
        <v/>
      </c>
      <c r="C15" s="531" t="str">
        <f ca="1">IFERROR(VLOOKUP('Data Entry Form'!$BS19,tblData[],COLUMN(INDIRECT("tblData[[Surname]]")),0),"")</f>
        <v/>
      </c>
      <c r="D15" s="531"/>
      <c r="E15" s="531" t="str">
        <f ca="1">IFERROR(VLOOKUP('Data Entry Form'!$BS19,tblData[],COLUMN(INDIRECT("tblData[[Given name]]")),0),"")</f>
        <v/>
      </c>
      <c r="F15" s="531"/>
      <c r="G15" s="105" t="str">
        <f ca="1">IFERROR(IF(VLOOKUP('Data Entry Form'!$BS19,tblData[],COLUMN(INDIRECT("tblData[[Date of Birth]]")),0)=0,"",VLOOKUP('Data Entry Form'!$BS19,tblData[],COLUMN(INDIRECT("tblData[[Date of Birth]]")),0)),"")</f>
        <v/>
      </c>
      <c r="H15" s="532" t="str">
        <f ca="1">IFERROR(IF(VLOOKUP('Data Entry Form'!$BS19,tblData[],COLUMN(INDIRECT("tblData[[Best results]]")),0)=0,"",VLOOKUP('Data Entry Form'!$BS19,tblData[],COLUMN(INDIRECT("tblData[[Best results]]")),0)),"")</f>
        <v/>
      </c>
      <c r="I15" s="532"/>
      <c r="J15" s="106" t="str">
        <f ca="1">IFERROR(IF(VLOOKUP('Data Entry Form'!$BS19,tblData[],COLUMN(INDIRECT("tblData[[Training Camp]]")),0)=0,"NO",VLOOKUP('Data Entry Form'!$BS19,tblData[],COLUMN(INDIRECT("tblData[[Training Camp]]")),0)),"")</f>
        <v/>
      </c>
    </row>
    <row r="16" spans="1:10" s="109" customFormat="1" ht="15" customHeight="1">
      <c r="A16" s="99">
        <f t="shared" si="0"/>
        <v>7</v>
      </c>
      <c r="B16" s="100" t="str">
        <f ca="1">IFERROR(VLOOKUP('Data Entry Form'!$BS20,tblData[],COLUMN(INDIRECT("tblData[[SubType1]]")),0),"")</f>
        <v/>
      </c>
      <c r="C16" s="531" t="str">
        <f ca="1">IFERROR(VLOOKUP('Data Entry Form'!$BS20,tblData[],COLUMN(INDIRECT("tblData[[Surname]]")),0),"")</f>
        <v/>
      </c>
      <c r="D16" s="531"/>
      <c r="E16" s="531" t="str">
        <f ca="1">IFERROR(VLOOKUP('Data Entry Form'!$BS20,tblData[],COLUMN(INDIRECT("tblData[[Given name]]")),0),"")</f>
        <v/>
      </c>
      <c r="F16" s="531"/>
      <c r="G16" s="105" t="str">
        <f ca="1">IFERROR(IF(VLOOKUP('Data Entry Form'!$BS20,tblData[],COLUMN(INDIRECT("tblData[[Date of Birth]]")),0)=0,"",VLOOKUP('Data Entry Form'!$BS20,tblData[],COLUMN(INDIRECT("tblData[[Date of Birth]]")),0)),"")</f>
        <v/>
      </c>
      <c r="H16" s="532" t="str">
        <f ca="1">IFERROR(IF(VLOOKUP('Data Entry Form'!$BS20,tblData[],COLUMN(INDIRECT("tblData[[Best results]]")),0)=0,"",VLOOKUP('Data Entry Form'!$BS20,tblData[],COLUMN(INDIRECT("tblData[[Best results]]")),0)),"")</f>
        <v/>
      </c>
      <c r="I16" s="532"/>
      <c r="J16" s="106" t="str">
        <f ca="1">IFERROR(IF(VLOOKUP('Data Entry Form'!$BS20,tblData[],COLUMN(INDIRECT("tblData[[Training Camp]]")),0)=0,"NO",VLOOKUP('Data Entry Form'!$BS20,tblData[],COLUMN(INDIRECT("tblData[[Training Camp]]")),0)),"")</f>
        <v/>
      </c>
    </row>
    <row r="17" spans="1:10" s="109" customFormat="1" ht="15" customHeight="1">
      <c r="A17" s="99">
        <f t="shared" si="0"/>
        <v>8</v>
      </c>
      <c r="B17" s="100" t="str">
        <f ca="1">IFERROR(VLOOKUP('Data Entry Form'!$BS21,tblData[],COLUMN(INDIRECT("tblData[[SubType1]]")),0),"")</f>
        <v/>
      </c>
      <c r="C17" s="531" t="str">
        <f ca="1">IFERROR(VLOOKUP('Data Entry Form'!$BS21,tblData[],COLUMN(INDIRECT("tblData[[Surname]]")),0),"")</f>
        <v/>
      </c>
      <c r="D17" s="531"/>
      <c r="E17" s="531" t="str">
        <f ca="1">IFERROR(VLOOKUP('Data Entry Form'!$BS21,tblData[],COLUMN(INDIRECT("tblData[[Given name]]")),0),"")</f>
        <v/>
      </c>
      <c r="F17" s="531"/>
      <c r="G17" s="105" t="str">
        <f ca="1">IFERROR(IF(VLOOKUP('Data Entry Form'!$BS21,tblData[],COLUMN(INDIRECT("tblData[[Date of Birth]]")),0)=0,"",VLOOKUP('Data Entry Form'!$BS21,tblData[],COLUMN(INDIRECT("tblData[[Date of Birth]]")),0)),"")</f>
        <v/>
      </c>
      <c r="H17" s="532" t="str">
        <f ca="1">IFERROR(IF(VLOOKUP('Data Entry Form'!$BS21,tblData[],COLUMN(INDIRECT("tblData[[Best results]]")),0)=0,"",VLOOKUP('Data Entry Form'!$BS21,tblData[],COLUMN(INDIRECT("tblData[[Best results]]")),0)),"")</f>
        <v/>
      </c>
      <c r="I17" s="532"/>
      <c r="J17" s="106" t="str">
        <f ca="1">IFERROR(IF(VLOOKUP('Data Entry Form'!$BS21,tblData[],COLUMN(INDIRECT("tblData[[Training Camp]]")),0)=0,"NO",VLOOKUP('Data Entry Form'!$BS21,tblData[],COLUMN(INDIRECT("tblData[[Training Camp]]")),0)),"")</f>
        <v/>
      </c>
    </row>
    <row r="18" spans="1:10" s="109" customFormat="1" ht="15" customHeight="1">
      <c r="A18" s="99">
        <f t="shared" si="0"/>
        <v>9</v>
      </c>
      <c r="B18" s="100" t="str">
        <f ca="1">IFERROR(VLOOKUP('Data Entry Form'!$BS22,tblData[],COLUMN(INDIRECT("tblData[[SubType1]]")),0),"")</f>
        <v/>
      </c>
      <c r="C18" s="531" t="str">
        <f ca="1">IFERROR(VLOOKUP('Data Entry Form'!$BS22,tblData[],COLUMN(INDIRECT("tblData[[Surname]]")),0),"")</f>
        <v/>
      </c>
      <c r="D18" s="531"/>
      <c r="E18" s="531" t="str">
        <f ca="1">IFERROR(VLOOKUP('Data Entry Form'!$BS22,tblData[],COLUMN(INDIRECT("tblData[[Given name]]")),0),"")</f>
        <v/>
      </c>
      <c r="F18" s="531"/>
      <c r="G18" s="105" t="str">
        <f ca="1">IFERROR(IF(VLOOKUP('Data Entry Form'!$BS22,tblData[],COLUMN(INDIRECT("tblData[[Date of Birth]]")),0)=0,"",VLOOKUP('Data Entry Form'!$BS22,tblData[],COLUMN(INDIRECT("tblData[[Date of Birth]]")),0)),"")</f>
        <v/>
      </c>
      <c r="H18" s="532" t="str">
        <f ca="1">IFERROR(IF(VLOOKUP('Data Entry Form'!$BS22,tblData[],COLUMN(INDIRECT("tblData[[Best results]]")),0)=0,"",VLOOKUP('Data Entry Form'!$BS22,tblData[],COLUMN(INDIRECT("tblData[[Best results]]")),0)),"")</f>
        <v/>
      </c>
      <c r="I18" s="532"/>
      <c r="J18" s="106" t="str">
        <f ca="1">IFERROR(IF(VLOOKUP('Data Entry Form'!$BS22,tblData[],COLUMN(INDIRECT("tblData[[Training Camp]]")),0)=0,"NO",VLOOKUP('Data Entry Form'!$BS22,tblData[],COLUMN(INDIRECT("tblData[[Training Camp]]")),0)),"")</f>
        <v/>
      </c>
    </row>
    <row r="19" spans="1:10" s="109" customFormat="1" ht="15" customHeight="1">
      <c r="A19" s="99">
        <f t="shared" si="0"/>
        <v>10</v>
      </c>
      <c r="B19" s="100" t="str">
        <f ca="1">IFERROR(VLOOKUP('Data Entry Form'!$BS23,tblData[],COLUMN(INDIRECT("tblData[[SubType1]]")),0),"")</f>
        <v/>
      </c>
      <c r="C19" s="531" t="str">
        <f ca="1">IFERROR(VLOOKUP('Data Entry Form'!$BS23,tblData[],COLUMN(INDIRECT("tblData[[Surname]]")),0),"")</f>
        <v/>
      </c>
      <c r="D19" s="531"/>
      <c r="E19" s="531" t="str">
        <f ca="1">IFERROR(VLOOKUP('Data Entry Form'!$BS23,tblData[],COLUMN(INDIRECT("tblData[[Given name]]")),0),"")</f>
        <v/>
      </c>
      <c r="F19" s="531"/>
      <c r="G19" s="105" t="str">
        <f ca="1">IFERROR(IF(VLOOKUP('Data Entry Form'!$BS23,tblData[],COLUMN(INDIRECT("tblData[[Date of Birth]]")),0)=0,"",VLOOKUP('Data Entry Form'!$BS23,tblData[],COLUMN(INDIRECT("tblData[[Date of Birth]]")),0)),"")</f>
        <v/>
      </c>
      <c r="H19" s="532" t="str">
        <f ca="1">IFERROR(IF(VLOOKUP('Data Entry Form'!$BS23,tblData[],COLUMN(INDIRECT("tblData[[Best results]]")),0)=0,"",VLOOKUP('Data Entry Form'!$BS23,tblData[],COLUMN(INDIRECT("tblData[[Best results]]")),0)),"")</f>
        <v/>
      </c>
      <c r="I19" s="532"/>
      <c r="J19" s="106" t="str">
        <f ca="1">IFERROR(IF(VLOOKUP('Data Entry Form'!$BS23,tblData[],COLUMN(INDIRECT("tblData[[Training Camp]]")),0)=0,"NO",VLOOKUP('Data Entry Form'!$BS23,tblData[],COLUMN(INDIRECT("tblData[[Training Camp]]")),0)),"")</f>
        <v/>
      </c>
    </row>
    <row r="20" spans="1:10" s="109" customFormat="1" ht="15" customHeight="1">
      <c r="A20" s="99">
        <f t="shared" si="0"/>
        <v>11</v>
      </c>
      <c r="B20" s="100" t="str">
        <f ca="1">IFERROR(VLOOKUP('Data Entry Form'!$BS24,tblData[],COLUMN(INDIRECT("tblData[[SubType1]]")),0),"")</f>
        <v/>
      </c>
      <c r="C20" s="531" t="str">
        <f ca="1">IFERROR(VLOOKUP('Data Entry Form'!$BS24,tblData[],COLUMN(INDIRECT("tblData[[Surname]]")),0),"")</f>
        <v/>
      </c>
      <c r="D20" s="531"/>
      <c r="E20" s="531" t="str">
        <f ca="1">IFERROR(VLOOKUP('Data Entry Form'!$BS24,tblData[],COLUMN(INDIRECT("tblData[[Given name]]")),0),"")</f>
        <v/>
      </c>
      <c r="F20" s="531"/>
      <c r="G20" s="105" t="str">
        <f ca="1">IFERROR(IF(VLOOKUP('Data Entry Form'!$BS24,tblData[],COLUMN(INDIRECT("tblData[[Date of Birth]]")),0)=0,"",VLOOKUP('Data Entry Form'!$BS24,tblData[],COLUMN(INDIRECT("tblData[[Date of Birth]]")),0)),"")</f>
        <v/>
      </c>
      <c r="H20" s="532" t="str">
        <f ca="1">IFERROR(IF(VLOOKUP('Data Entry Form'!$BS24,tblData[],COLUMN(INDIRECT("tblData[[Best results]]")),0)=0,"",VLOOKUP('Data Entry Form'!$BS24,tblData[],COLUMN(INDIRECT("tblData[[Best results]]")),0)),"")</f>
        <v/>
      </c>
      <c r="I20" s="532"/>
      <c r="J20" s="106" t="str">
        <f ca="1">IFERROR(IF(VLOOKUP('Data Entry Form'!$BS24,tblData[],COLUMN(INDIRECT("tblData[[Training Camp]]")),0)=0,"NO",VLOOKUP('Data Entry Form'!$BS24,tblData[],COLUMN(INDIRECT("tblData[[Training Camp]]")),0)),"")</f>
        <v/>
      </c>
    </row>
    <row r="21" spans="1:10" s="109" customFormat="1" ht="15" customHeight="1">
      <c r="A21" s="99">
        <f t="shared" si="0"/>
        <v>12</v>
      </c>
      <c r="B21" s="100" t="str">
        <f ca="1">IFERROR(VLOOKUP('Data Entry Form'!$BS25,tblData[],COLUMN(INDIRECT("tblData[[SubType1]]")),0),"")</f>
        <v/>
      </c>
      <c r="C21" s="531" t="str">
        <f ca="1">IFERROR(VLOOKUP('Data Entry Form'!$BS25,tblData[],COLUMN(INDIRECT("tblData[[Surname]]")),0),"")</f>
        <v/>
      </c>
      <c r="D21" s="531"/>
      <c r="E21" s="531" t="str">
        <f ca="1">IFERROR(VLOOKUP('Data Entry Form'!$BS25,tblData[],COLUMN(INDIRECT("tblData[[Given name]]")),0),"")</f>
        <v/>
      </c>
      <c r="F21" s="531"/>
      <c r="G21" s="105" t="str">
        <f ca="1">IFERROR(IF(VLOOKUP('Data Entry Form'!$BS25,tblData[],COLUMN(INDIRECT("tblData[[Date of Birth]]")),0)=0,"",VLOOKUP('Data Entry Form'!$BS25,tblData[],COLUMN(INDIRECT("tblData[[Date of Birth]]")),0)),"")</f>
        <v/>
      </c>
      <c r="H21" s="532" t="str">
        <f ca="1">IFERROR(IF(VLOOKUP('Data Entry Form'!$BS25,tblData[],COLUMN(INDIRECT("tblData[[Best results]]")),0)=0,"",VLOOKUP('Data Entry Form'!$BS25,tblData[],COLUMN(INDIRECT("tblData[[Best results]]")),0)),"")</f>
        <v/>
      </c>
      <c r="I21" s="532"/>
      <c r="J21" s="106" t="str">
        <f ca="1">IFERROR(IF(VLOOKUP('Data Entry Form'!$BS25,tblData[],COLUMN(INDIRECT("tblData[[Training Camp]]")),0)=0,"NO",VLOOKUP('Data Entry Form'!$BS25,tblData[],COLUMN(INDIRECT("tblData[[Training Camp]]")),0)),"")</f>
        <v/>
      </c>
    </row>
    <row r="22" spans="1:10" s="109" customFormat="1" ht="15" customHeight="1">
      <c r="A22" s="99">
        <f t="shared" si="0"/>
        <v>13</v>
      </c>
      <c r="B22" s="100" t="str">
        <f ca="1">IFERROR(VLOOKUP('Data Entry Form'!$BS26,tblData[],COLUMN(INDIRECT("tblData[[SubType1]]")),0),"")</f>
        <v/>
      </c>
      <c r="C22" s="531" t="str">
        <f ca="1">IFERROR(VLOOKUP('Data Entry Form'!$BS26,tblData[],COLUMN(INDIRECT("tblData[[Surname]]")),0),"")</f>
        <v/>
      </c>
      <c r="D22" s="531"/>
      <c r="E22" s="531" t="str">
        <f ca="1">IFERROR(VLOOKUP('Data Entry Form'!$BS26,tblData[],COLUMN(INDIRECT("tblData[[Given name]]")),0),"")</f>
        <v/>
      </c>
      <c r="F22" s="531"/>
      <c r="G22" s="105" t="str">
        <f ca="1">IFERROR(IF(VLOOKUP('Data Entry Form'!$BS26,tblData[],COLUMN(INDIRECT("tblData[[Date of Birth]]")),0)=0,"",VLOOKUP('Data Entry Form'!$BS26,tblData[],COLUMN(INDIRECT("tblData[[Date of Birth]]")),0)),"")</f>
        <v/>
      </c>
      <c r="H22" s="532" t="str">
        <f ca="1">IFERROR(IF(VLOOKUP('Data Entry Form'!$BS26,tblData[],COLUMN(INDIRECT("tblData[[Best results]]")),0)=0,"",VLOOKUP('Data Entry Form'!$BS26,tblData[],COLUMN(INDIRECT("tblData[[Best results]]")),0)),"")</f>
        <v/>
      </c>
      <c r="I22" s="532"/>
      <c r="J22" s="106" t="str">
        <f ca="1">IFERROR(IF(VLOOKUP('Data Entry Form'!$BS26,tblData[],COLUMN(INDIRECT("tblData[[Training Camp]]")),0)=0,"NO",VLOOKUP('Data Entry Form'!$BS26,tblData[],COLUMN(INDIRECT("tblData[[Training Camp]]")),0)),"")</f>
        <v/>
      </c>
    </row>
    <row r="23" spans="1:10" s="109" customFormat="1" ht="15" customHeight="1">
      <c r="A23" s="99">
        <f t="shared" si="0"/>
        <v>14</v>
      </c>
      <c r="B23" s="100" t="str">
        <f ca="1">IFERROR(VLOOKUP('Data Entry Form'!$BS27,tblData[],COLUMN(INDIRECT("tblData[[SubType1]]")),0),"")</f>
        <v/>
      </c>
      <c r="C23" s="531" t="str">
        <f ca="1">IFERROR(VLOOKUP('Data Entry Form'!$BS27,tblData[],COLUMN(INDIRECT("tblData[[Surname]]")),0),"")</f>
        <v/>
      </c>
      <c r="D23" s="531"/>
      <c r="E23" s="531" t="str">
        <f ca="1">IFERROR(VLOOKUP('Data Entry Form'!$BS27,tblData[],COLUMN(INDIRECT("tblData[[Given name]]")),0),"")</f>
        <v/>
      </c>
      <c r="F23" s="531"/>
      <c r="G23" s="105" t="str">
        <f ca="1">IFERROR(IF(VLOOKUP('Data Entry Form'!$BS27,tblData[],COLUMN(INDIRECT("tblData[[Date of Birth]]")),0)=0,"",VLOOKUP('Data Entry Form'!$BS27,tblData[],COLUMN(INDIRECT("tblData[[Date of Birth]]")),0)),"")</f>
        <v/>
      </c>
      <c r="H23" s="532" t="str">
        <f ca="1">IFERROR(IF(VLOOKUP('Data Entry Form'!$BS27,tblData[],COLUMN(INDIRECT("tblData[[Best results]]")),0)=0,"",VLOOKUP('Data Entry Form'!$BS27,tblData[],COLUMN(INDIRECT("tblData[[Best results]]")),0)),"")</f>
        <v/>
      </c>
      <c r="I23" s="532"/>
      <c r="J23" s="106" t="str">
        <f ca="1">IFERROR(IF(VLOOKUP('Data Entry Form'!$BS27,tblData[],COLUMN(INDIRECT("tblData[[Training Camp]]")),0)=0,"NO",VLOOKUP('Data Entry Form'!$BS27,tblData[],COLUMN(INDIRECT("tblData[[Training Camp]]")),0)),"")</f>
        <v/>
      </c>
    </row>
    <row r="24" spans="1:10" s="109" customFormat="1" ht="15" customHeight="1">
      <c r="A24" s="99">
        <f t="shared" si="0"/>
        <v>15</v>
      </c>
      <c r="B24" s="100" t="str">
        <f ca="1">IFERROR(VLOOKUP('Data Entry Form'!$BS28,tblData[],COLUMN(INDIRECT("tblData[[SubType1]]")),0),"")</f>
        <v/>
      </c>
      <c r="C24" s="531" t="str">
        <f ca="1">IFERROR(VLOOKUP('Data Entry Form'!$BS28,tblData[],COLUMN(INDIRECT("tblData[[Surname]]")),0),"")</f>
        <v/>
      </c>
      <c r="D24" s="531"/>
      <c r="E24" s="531" t="str">
        <f ca="1">IFERROR(VLOOKUP('Data Entry Form'!$BS28,tblData[],COLUMN(INDIRECT("tblData[[Given name]]")),0),"")</f>
        <v/>
      </c>
      <c r="F24" s="531"/>
      <c r="G24" s="105" t="str">
        <f ca="1">IFERROR(IF(VLOOKUP('Data Entry Form'!$BS28,tblData[],COLUMN(INDIRECT("tblData[[Date of Birth]]")),0)=0,"",VLOOKUP('Data Entry Form'!$BS28,tblData[],COLUMN(INDIRECT("tblData[[Date of Birth]]")),0)),"")</f>
        <v/>
      </c>
      <c r="H24" s="532" t="str">
        <f ca="1">IFERROR(IF(VLOOKUP('Data Entry Form'!$BS28,tblData[],COLUMN(INDIRECT("tblData[[Best results]]")),0)=0,"",VLOOKUP('Data Entry Form'!$BS28,tblData[],COLUMN(INDIRECT("tblData[[Best results]]")),0)),"")</f>
        <v/>
      </c>
      <c r="I24" s="532"/>
      <c r="J24" s="106" t="str">
        <f ca="1">IFERROR(IF(VLOOKUP('Data Entry Form'!$BS28,tblData[],COLUMN(INDIRECT("tblData[[Training Camp]]")),0)=0,"NO",VLOOKUP('Data Entry Form'!$BS28,tblData[],COLUMN(INDIRECT("tblData[[Training Camp]]")),0)),"")</f>
        <v/>
      </c>
    </row>
    <row r="25" spans="1:10" s="109" customFormat="1" ht="15" customHeight="1">
      <c r="A25" s="99">
        <f t="shared" si="0"/>
        <v>16</v>
      </c>
      <c r="B25" s="100" t="str">
        <f ca="1">IFERROR(VLOOKUP('Data Entry Form'!$BS29,tblData[],COLUMN(INDIRECT("tblData[[SubType1]]")),0),"")</f>
        <v/>
      </c>
      <c r="C25" s="531" t="str">
        <f ca="1">IFERROR(VLOOKUP('Data Entry Form'!$BS29,tblData[],COLUMN(INDIRECT("tblData[[Surname]]")),0),"")</f>
        <v/>
      </c>
      <c r="D25" s="531"/>
      <c r="E25" s="531" t="str">
        <f ca="1">IFERROR(VLOOKUP('Data Entry Form'!$BS29,tblData[],COLUMN(INDIRECT("tblData[[Given name]]")),0),"")</f>
        <v/>
      </c>
      <c r="F25" s="531"/>
      <c r="G25" s="105" t="str">
        <f ca="1">IFERROR(IF(VLOOKUP('Data Entry Form'!$BS29,tblData[],COLUMN(INDIRECT("tblData[[Date of Birth]]")),0)=0,"",VLOOKUP('Data Entry Form'!$BS29,tblData[],COLUMN(INDIRECT("tblData[[Date of Birth]]")),0)),"")</f>
        <v/>
      </c>
      <c r="H25" s="532" t="str">
        <f ca="1">IFERROR(IF(VLOOKUP('Data Entry Form'!$BS29,tblData[],COLUMN(INDIRECT("tblData[[Best results]]")),0)=0,"",VLOOKUP('Data Entry Form'!$BS29,tblData[],COLUMN(INDIRECT("tblData[[Best results]]")),0)),"")</f>
        <v/>
      </c>
      <c r="I25" s="532"/>
      <c r="J25" s="106" t="str">
        <f ca="1">IFERROR(IF(VLOOKUP('Data Entry Form'!$BS29,tblData[],COLUMN(INDIRECT("tblData[[Training Camp]]")),0)=0,"NO",VLOOKUP('Data Entry Form'!$BS29,tblData[],COLUMN(INDIRECT("tblData[[Training Camp]]")),0)),"")</f>
        <v/>
      </c>
    </row>
    <row r="26" spans="1:10" s="109" customFormat="1" ht="15" customHeight="1">
      <c r="A26" s="99">
        <f t="shared" si="0"/>
        <v>17</v>
      </c>
      <c r="B26" s="100" t="str">
        <f ca="1">IFERROR(VLOOKUP('Data Entry Form'!$BS30,tblData[],COLUMN(INDIRECT("tblData[[SubType1]]")),0),"")</f>
        <v/>
      </c>
      <c r="C26" s="531" t="str">
        <f ca="1">IFERROR(VLOOKUP('Data Entry Form'!$BS30,tblData[],COLUMN(INDIRECT("tblData[[Surname]]")),0),"")</f>
        <v/>
      </c>
      <c r="D26" s="531"/>
      <c r="E26" s="531" t="str">
        <f ca="1">IFERROR(VLOOKUP('Data Entry Form'!$BS30,tblData[],COLUMN(INDIRECT("tblData[[Given name]]")),0),"")</f>
        <v/>
      </c>
      <c r="F26" s="531"/>
      <c r="G26" s="105" t="str">
        <f ca="1">IFERROR(IF(VLOOKUP('Data Entry Form'!$BS30,tblData[],COLUMN(INDIRECT("tblData[[Date of Birth]]")),0)=0,"",VLOOKUP('Data Entry Form'!$BS30,tblData[],COLUMN(INDIRECT("tblData[[Date of Birth]]")),0)),"")</f>
        <v/>
      </c>
      <c r="H26" s="532" t="str">
        <f ca="1">IFERROR(IF(VLOOKUP('Data Entry Form'!$BS30,tblData[],COLUMN(INDIRECT("tblData[[Best results]]")),0)=0,"",VLOOKUP('Data Entry Form'!$BS30,tblData[],COLUMN(INDIRECT("tblData[[Best results]]")),0)),"")</f>
        <v/>
      </c>
      <c r="I26" s="532"/>
      <c r="J26" s="106" t="str">
        <f ca="1">IFERROR(IF(VLOOKUP('Data Entry Form'!$BS30,tblData[],COLUMN(INDIRECT("tblData[[Training Camp]]")),0)=0,"NO",VLOOKUP('Data Entry Form'!$BS30,tblData[],COLUMN(INDIRECT("tblData[[Training Camp]]")),0)),"")</f>
        <v/>
      </c>
    </row>
    <row r="27" spans="1:10" s="109" customFormat="1" ht="15" customHeight="1">
      <c r="A27" s="99">
        <f t="shared" si="0"/>
        <v>18</v>
      </c>
      <c r="B27" s="100" t="str">
        <f ca="1">IFERROR(VLOOKUP('Data Entry Form'!$BS31,tblData[],COLUMN(INDIRECT("tblData[[SubType1]]")),0),"")</f>
        <v/>
      </c>
      <c r="C27" s="531" t="str">
        <f ca="1">IFERROR(VLOOKUP('Data Entry Form'!$BS31,tblData[],COLUMN(INDIRECT("tblData[[Surname]]")),0),"")</f>
        <v/>
      </c>
      <c r="D27" s="531"/>
      <c r="E27" s="531" t="str">
        <f ca="1">IFERROR(VLOOKUP('Data Entry Form'!$BS31,tblData[],COLUMN(INDIRECT("tblData[[Given name]]")),0),"")</f>
        <v/>
      </c>
      <c r="F27" s="531"/>
      <c r="G27" s="105" t="str">
        <f ca="1">IFERROR(IF(VLOOKUP('Data Entry Form'!$BS31,tblData[],COLUMN(INDIRECT("tblData[[Date of Birth]]")),0)=0,"",VLOOKUP('Data Entry Form'!$BS31,tblData[],COLUMN(INDIRECT("tblData[[Date of Birth]]")),0)),"")</f>
        <v/>
      </c>
      <c r="H27" s="532" t="str">
        <f ca="1">IFERROR(IF(VLOOKUP('Data Entry Form'!$BS31,tblData[],COLUMN(INDIRECT("tblData[[Best results]]")),0)=0,"",VLOOKUP('Data Entry Form'!$BS31,tblData[],COLUMN(INDIRECT("tblData[[Best results]]")),0)),"")</f>
        <v/>
      </c>
      <c r="I27" s="532"/>
      <c r="J27" s="106" t="str">
        <f ca="1">IFERROR(IF(VLOOKUP('Data Entry Form'!$BS31,tblData[],COLUMN(INDIRECT("tblData[[Training Camp]]")),0)=0,"NO",VLOOKUP('Data Entry Form'!$BS31,tblData[],COLUMN(INDIRECT("tblData[[Training Camp]]")),0)),"")</f>
        <v/>
      </c>
    </row>
    <row r="28" spans="1:10" s="109" customFormat="1" ht="15" customHeight="1">
      <c r="A28" s="99">
        <f t="shared" si="0"/>
        <v>19</v>
      </c>
      <c r="B28" s="100" t="str">
        <f ca="1">IFERROR(VLOOKUP('Data Entry Form'!$BS32,tblData[],COLUMN(INDIRECT("tblData[[SubType1]]")),0),"")</f>
        <v/>
      </c>
      <c r="C28" s="531" t="str">
        <f ca="1">IFERROR(VLOOKUP('Data Entry Form'!$BS32,tblData[],COLUMN(INDIRECT("tblData[[Surname]]")),0),"")</f>
        <v/>
      </c>
      <c r="D28" s="531"/>
      <c r="E28" s="531" t="str">
        <f ca="1">IFERROR(VLOOKUP('Data Entry Form'!$BS32,tblData[],COLUMN(INDIRECT("tblData[[Given name]]")),0),"")</f>
        <v/>
      </c>
      <c r="F28" s="531"/>
      <c r="G28" s="105" t="str">
        <f ca="1">IFERROR(IF(VLOOKUP('Data Entry Form'!$BS32,tblData[],COLUMN(INDIRECT("tblData[[Date of Birth]]")),0)=0,"",VLOOKUP('Data Entry Form'!$BS32,tblData[],COLUMN(INDIRECT("tblData[[Date of Birth]]")),0)),"")</f>
        <v/>
      </c>
      <c r="H28" s="532" t="str">
        <f ca="1">IFERROR(IF(VLOOKUP('Data Entry Form'!$BS32,tblData[],COLUMN(INDIRECT("tblData[[Best results]]")),0)=0,"",VLOOKUP('Data Entry Form'!$BS32,tblData[],COLUMN(INDIRECT("tblData[[Best results]]")),0)),"")</f>
        <v/>
      </c>
      <c r="I28" s="532"/>
      <c r="J28" s="106" t="str">
        <f ca="1">IFERROR(IF(VLOOKUP('Data Entry Form'!$BS32,tblData[],COLUMN(INDIRECT("tblData[[Training Camp]]")),0)=0,"NO",VLOOKUP('Data Entry Form'!$BS32,tblData[],COLUMN(INDIRECT("tblData[[Training Camp]]")),0)),"")</f>
        <v/>
      </c>
    </row>
    <row r="29" spans="1:10" s="109" customFormat="1" ht="15" customHeight="1">
      <c r="A29" s="99">
        <f t="shared" si="0"/>
        <v>20</v>
      </c>
      <c r="B29" s="100" t="str">
        <f ca="1">IFERROR(VLOOKUP('Data Entry Form'!$BS33,tblData[],COLUMN(INDIRECT("tblData[[SubType1]]")),0),"")</f>
        <v/>
      </c>
      <c r="C29" s="531" t="str">
        <f ca="1">IFERROR(VLOOKUP('Data Entry Form'!$BS33,tblData[],COLUMN(INDIRECT("tblData[[Surname]]")),0),"")</f>
        <v/>
      </c>
      <c r="D29" s="531"/>
      <c r="E29" s="531" t="str">
        <f ca="1">IFERROR(VLOOKUP('Data Entry Form'!$BS33,tblData[],COLUMN(INDIRECT("tblData[[Given name]]")),0),"")</f>
        <v/>
      </c>
      <c r="F29" s="531"/>
      <c r="G29" s="105" t="str">
        <f ca="1">IFERROR(IF(VLOOKUP('Data Entry Form'!$BS33,tblData[],COLUMN(INDIRECT("tblData[[Date of Birth]]")),0)=0,"",VLOOKUP('Data Entry Form'!$BS33,tblData[],COLUMN(INDIRECT("tblData[[Date of Birth]]")),0)),"")</f>
        <v/>
      </c>
      <c r="H29" s="532" t="str">
        <f ca="1">IFERROR(IF(VLOOKUP('Data Entry Form'!$BS33,tblData[],COLUMN(INDIRECT("tblData[[Best results]]")),0)=0,"",VLOOKUP('Data Entry Form'!$BS33,tblData[],COLUMN(INDIRECT("tblData[[Best results]]")),0)),"")</f>
        <v/>
      </c>
      <c r="I29" s="532"/>
      <c r="J29" s="106" t="str">
        <f ca="1">IFERROR(IF(VLOOKUP('Data Entry Form'!$BS33,tblData[],COLUMN(INDIRECT("tblData[[Training Camp]]")),0)=0,"NO",VLOOKUP('Data Entry Form'!$BS33,tblData[],COLUMN(INDIRECT("tblData[[Training Camp]]")),0)),"")</f>
        <v/>
      </c>
    </row>
    <row r="30" spans="1:10" s="109" customFormat="1" ht="15" customHeight="1">
      <c r="A30" s="99">
        <f t="shared" si="0"/>
        <v>21</v>
      </c>
      <c r="B30" s="100" t="str">
        <f ca="1">IFERROR(VLOOKUP('Data Entry Form'!$BS34,tblData[],COLUMN(INDIRECT("tblData[[SubType1]]")),0),"")</f>
        <v/>
      </c>
      <c r="C30" s="531" t="str">
        <f ca="1">IFERROR(VLOOKUP('Data Entry Form'!$BS34,tblData[],COLUMN(INDIRECT("tblData[[Surname]]")),0),"")</f>
        <v/>
      </c>
      <c r="D30" s="531"/>
      <c r="E30" s="531" t="str">
        <f ca="1">IFERROR(VLOOKUP('Data Entry Form'!$BS34,tblData[],COLUMN(INDIRECT("tblData[[Given name]]")),0),"")</f>
        <v/>
      </c>
      <c r="F30" s="531"/>
      <c r="G30" s="105" t="str">
        <f ca="1">IFERROR(IF(VLOOKUP('Data Entry Form'!$BS34,tblData[],COLUMN(INDIRECT("tblData[[Date of Birth]]")),0)=0,"",VLOOKUP('Data Entry Form'!$BS34,tblData[],COLUMN(INDIRECT("tblData[[Date of Birth]]")),0)),"")</f>
        <v/>
      </c>
      <c r="H30" s="532" t="str">
        <f ca="1">IFERROR(IF(VLOOKUP('Data Entry Form'!$BS34,tblData[],COLUMN(INDIRECT("tblData[[Best results]]")),0)=0,"",VLOOKUP('Data Entry Form'!$BS34,tblData[],COLUMN(INDIRECT("tblData[[Best results]]")),0)),"")</f>
        <v/>
      </c>
      <c r="I30" s="532"/>
      <c r="J30" s="106" t="str">
        <f ca="1">IFERROR(IF(VLOOKUP('Data Entry Form'!$BS34,tblData[],COLUMN(INDIRECT("tblData[[Training Camp]]")),0)=0,"NO",VLOOKUP('Data Entry Form'!$BS34,tblData[],COLUMN(INDIRECT("tblData[[Training Camp]]")),0)),"")</f>
        <v/>
      </c>
    </row>
    <row r="31" spans="1:10" s="109" customFormat="1" ht="15" customHeight="1">
      <c r="A31" s="99">
        <f t="shared" si="0"/>
        <v>22</v>
      </c>
      <c r="B31" s="100" t="str">
        <f ca="1">IFERROR(VLOOKUP('Data Entry Form'!$BS35,tblData[],COLUMN(INDIRECT("tblData[[SubType1]]")),0),"")</f>
        <v/>
      </c>
      <c r="C31" s="531" t="str">
        <f ca="1">IFERROR(VLOOKUP('Data Entry Form'!$BS35,tblData[],COLUMN(INDIRECT("tblData[[Surname]]")),0),"")</f>
        <v/>
      </c>
      <c r="D31" s="531"/>
      <c r="E31" s="531" t="str">
        <f ca="1">IFERROR(VLOOKUP('Data Entry Form'!$BS35,tblData[],COLUMN(INDIRECT("tblData[[Given name]]")),0),"")</f>
        <v/>
      </c>
      <c r="F31" s="531"/>
      <c r="G31" s="105" t="str">
        <f ca="1">IFERROR(IF(VLOOKUP('Data Entry Form'!$BS35,tblData[],COLUMN(INDIRECT("tblData[[Date of Birth]]")),0)=0,"",VLOOKUP('Data Entry Form'!$BS35,tblData[],COLUMN(INDIRECT("tblData[[Date of Birth]]")),0)),"")</f>
        <v/>
      </c>
      <c r="H31" s="532" t="str">
        <f ca="1">IFERROR(IF(VLOOKUP('Data Entry Form'!$BS35,tblData[],COLUMN(INDIRECT("tblData[[Best results]]")),0)=0,"",VLOOKUP('Data Entry Form'!$BS35,tblData[],COLUMN(INDIRECT("tblData[[Best results]]")),0)),"")</f>
        <v/>
      </c>
      <c r="I31" s="532"/>
      <c r="J31" s="106" t="str">
        <f ca="1">IFERROR(IF(VLOOKUP('Data Entry Form'!$BS35,tblData[],COLUMN(INDIRECT("tblData[[Training Camp]]")),0)=0,"NO",VLOOKUP('Data Entry Form'!$BS35,tblData[],COLUMN(INDIRECT("tblData[[Training Camp]]")),0)),"")</f>
        <v/>
      </c>
    </row>
    <row r="32" spans="1:10" s="109" customFormat="1" ht="15" customHeight="1">
      <c r="A32" s="99">
        <f t="shared" si="0"/>
        <v>23</v>
      </c>
      <c r="B32" s="100" t="str">
        <f ca="1">IFERROR(VLOOKUP('Data Entry Form'!$BS36,tblData[],COLUMN(INDIRECT("tblData[[SubType1]]")),0),"")</f>
        <v/>
      </c>
      <c r="C32" s="531" t="str">
        <f ca="1">IFERROR(VLOOKUP('Data Entry Form'!$BS36,tblData[],COLUMN(INDIRECT("tblData[[Surname]]")),0),"")</f>
        <v/>
      </c>
      <c r="D32" s="531"/>
      <c r="E32" s="531" t="str">
        <f ca="1">IFERROR(VLOOKUP('Data Entry Form'!$BS36,tblData[],COLUMN(INDIRECT("tblData[[Given name]]")),0),"")</f>
        <v/>
      </c>
      <c r="F32" s="531"/>
      <c r="G32" s="105" t="str">
        <f ca="1">IFERROR(IF(VLOOKUP('Data Entry Form'!$BS36,tblData[],COLUMN(INDIRECT("tblData[[Date of Birth]]")),0)=0,"",VLOOKUP('Data Entry Form'!$BS36,tblData[],COLUMN(INDIRECT("tblData[[Date of Birth]]")),0)),"")</f>
        <v/>
      </c>
      <c r="H32" s="532" t="str">
        <f ca="1">IFERROR(IF(VLOOKUP('Data Entry Form'!$BS36,tblData[],COLUMN(INDIRECT("tblData[[Best results]]")),0)=0,"",VLOOKUP('Data Entry Form'!$BS36,tblData[],COLUMN(INDIRECT("tblData[[Best results]]")),0)),"")</f>
        <v/>
      </c>
      <c r="I32" s="532"/>
      <c r="J32" s="106" t="str">
        <f ca="1">IFERROR(IF(VLOOKUP('Data Entry Form'!$BS36,tblData[],COLUMN(INDIRECT("tblData[[Training Camp]]")),0)=0,"NO",VLOOKUP('Data Entry Form'!$BS36,tblData[],COLUMN(INDIRECT("tblData[[Training Camp]]")),0)),"")</f>
        <v/>
      </c>
    </row>
    <row r="33" spans="1:10" s="109" customFormat="1" ht="15" customHeight="1">
      <c r="A33" s="99">
        <f t="shared" si="0"/>
        <v>24</v>
      </c>
      <c r="B33" s="100" t="str">
        <f ca="1">IFERROR(VLOOKUP('Data Entry Form'!$BS37,tblData[],COLUMN(INDIRECT("tblData[[SubType1]]")),0),"")</f>
        <v/>
      </c>
      <c r="C33" s="531" t="str">
        <f ca="1">IFERROR(VLOOKUP('Data Entry Form'!$BS37,tblData[],COLUMN(INDIRECT("tblData[[Surname]]")),0),"")</f>
        <v/>
      </c>
      <c r="D33" s="531"/>
      <c r="E33" s="531" t="str">
        <f ca="1">IFERROR(VLOOKUP('Data Entry Form'!$BS37,tblData[],COLUMN(INDIRECT("tblData[[Given name]]")),0),"")</f>
        <v/>
      </c>
      <c r="F33" s="531"/>
      <c r="G33" s="105" t="str">
        <f ca="1">IFERROR(IF(VLOOKUP('Data Entry Form'!$BS37,tblData[],COLUMN(INDIRECT("tblData[[Date of Birth]]")),0)=0,"",VLOOKUP('Data Entry Form'!$BS37,tblData[],COLUMN(INDIRECT("tblData[[Date of Birth]]")),0)),"")</f>
        <v/>
      </c>
      <c r="H33" s="532" t="str">
        <f ca="1">IFERROR(IF(VLOOKUP('Data Entry Form'!$BS37,tblData[],COLUMN(INDIRECT("tblData[[Best results]]")),0)=0,"",VLOOKUP('Data Entry Form'!$BS37,tblData[],COLUMN(INDIRECT("tblData[[Best results]]")),0)),"")</f>
        <v/>
      </c>
      <c r="I33" s="532"/>
      <c r="J33" s="106" t="str">
        <f ca="1">IFERROR(IF(VLOOKUP('Data Entry Form'!$BS37,tblData[],COLUMN(INDIRECT("tblData[[Training Camp]]")),0)=0,"NO",VLOOKUP('Data Entry Form'!$BS37,tblData[],COLUMN(INDIRECT("tblData[[Training Camp]]")),0)),"")</f>
        <v/>
      </c>
    </row>
    <row r="34" spans="1:10" s="109" customFormat="1" ht="15" customHeight="1">
      <c r="A34" s="99">
        <f t="shared" si="0"/>
        <v>25</v>
      </c>
      <c r="B34" s="100" t="str">
        <f ca="1">IFERROR(VLOOKUP('Data Entry Form'!$BS38,tblData[],COLUMN(INDIRECT("tblData[[SubType1]]")),0),"")</f>
        <v/>
      </c>
      <c r="C34" s="531" t="str">
        <f ca="1">IFERROR(VLOOKUP('Data Entry Form'!$BS38,tblData[],COLUMN(INDIRECT("tblData[[Surname]]")),0),"")</f>
        <v/>
      </c>
      <c r="D34" s="531"/>
      <c r="E34" s="531" t="str">
        <f ca="1">IFERROR(VLOOKUP('Data Entry Form'!$BS38,tblData[],COLUMN(INDIRECT("tblData[[Given name]]")),0),"")</f>
        <v/>
      </c>
      <c r="F34" s="531"/>
      <c r="G34" s="105" t="str">
        <f ca="1">IFERROR(IF(VLOOKUP('Data Entry Form'!$BS38,tblData[],COLUMN(INDIRECT("tblData[[Date of Birth]]")),0)=0,"",VLOOKUP('Data Entry Form'!$BS38,tblData[],COLUMN(INDIRECT("tblData[[Date of Birth]]")),0)),"")</f>
        <v/>
      </c>
      <c r="H34" s="532" t="str">
        <f ca="1">IFERROR(IF(VLOOKUP('Data Entry Form'!$BS38,tblData[],COLUMN(INDIRECT("tblData[[Best results]]")),0)=0,"",VLOOKUP('Data Entry Form'!$BS38,tblData[],COLUMN(INDIRECT("tblData[[Best results]]")),0)),"")</f>
        <v/>
      </c>
      <c r="I34" s="532"/>
      <c r="J34" s="106" t="str">
        <f ca="1">IFERROR(IF(VLOOKUP('Data Entry Form'!$BS38,tblData[],COLUMN(INDIRECT("tblData[[Training Camp]]")),0)=0,"NO",VLOOKUP('Data Entry Form'!$BS38,tblData[],COLUMN(INDIRECT("tblData[[Training Camp]]")),0)),"")</f>
        <v/>
      </c>
    </row>
    <row r="35" spans="1:10" s="109" customFormat="1" ht="15" customHeight="1">
      <c r="A35" s="99">
        <f t="shared" si="0"/>
        <v>26</v>
      </c>
      <c r="B35" s="100" t="str">
        <f ca="1">IFERROR(VLOOKUP('Data Entry Form'!$BS39,tblData[],COLUMN(INDIRECT("tblData[[SubType1]]")),0),"")</f>
        <v/>
      </c>
      <c r="C35" s="531" t="str">
        <f ca="1">IFERROR(VLOOKUP('Data Entry Form'!$BS39,tblData[],COLUMN(INDIRECT("tblData[[Surname]]")),0),"")</f>
        <v/>
      </c>
      <c r="D35" s="531"/>
      <c r="E35" s="531" t="str">
        <f ca="1">IFERROR(VLOOKUP('Data Entry Form'!$BS39,tblData[],COLUMN(INDIRECT("tblData[[Given name]]")),0),"")</f>
        <v/>
      </c>
      <c r="F35" s="531"/>
      <c r="G35" s="105" t="str">
        <f ca="1">IFERROR(IF(VLOOKUP('Data Entry Form'!$BS39,tblData[],COLUMN(INDIRECT("tblData[[Date of Birth]]")),0)=0,"",VLOOKUP('Data Entry Form'!$BS39,tblData[],COLUMN(INDIRECT("tblData[[Date of Birth]]")),0)),"")</f>
        <v/>
      </c>
      <c r="H35" s="532" t="str">
        <f ca="1">IFERROR(IF(VLOOKUP('Data Entry Form'!$BS39,tblData[],COLUMN(INDIRECT("tblData[[Best results]]")),0)=0,"",VLOOKUP('Data Entry Form'!$BS39,tblData[],COLUMN(INDIRECT("tblData[[Best results]]")),0)),"")</f>
        <v/>
      </c>
      <c r="I35" s="532"/>
      <c r="J35" s="106" t="str">
        <f ca="1">IFERROR(IF(VLOOKUP('Data Entry Form'!$BS39,tblData[],COLUMN(INDIRECT("tblData[[Training Camp]]")),0)=0,"NO",VLOOKUP('Data Entry Form'!$BS39,tblData[],COLUMN(INDIRECT("tblData[[Training Camp]]")),0)),"")</f>
        <v/>
      </c>
    </row>
    <row r="36" spans="1:10" s="109" customFormat="1" ht="15" customHeight="1">
      <c r="A36" s="99">
        <f t="shared" si="0"/>
        <v>27</v>
      </c>
      <c r="B36" s="100" t="str">
        <f ca="1">IFERROR(VLOOKUP('Data Entry Form'!$BS40,tblData[],COLUMN(INDIRECT("tblData[[SubType1]]")),0),"")</f>
        <v/>
      </c>
      <c r="C36" s="531" t="str">
        <f ca="1">IFERROR(VLOOKUP('Data Entry Form'!$BS40,tblData[],COLUMN(INDIRECT("tblData[[Surname]]")),0),"")</f>
        <v/>
      </c>
      <c r="D36" s="531"/>
      <c r="E36" s="531" t="str">
        <f ca="1">IFERROR(VLOOKUP('Data Entry Form'!$BS40,tblData[],COLUMN(INDIRECT("tblData[[Given name]]")),0),"")</f>
        <v/>
      </c>
      <c r="F36" s="531"/>
      <c r="G36" s="105" t="str">
        <f ca="1">IFERROR(IF(VLOOKUP('Data Entry Form'!$BS40,tblData[],COLUMN(INDIRECT("tblData[[Date of Birth]]")),0)=0,"",VLOOKUP('Data Entry Form'!$BS40,tblData[],COLUMN(INDIRECT("tblData[[Date of Birth]]")),0)),"")</f>
        <v/>
      </c>
      <c r="H36" s="532" t="str">
        <f ca="1">IFERROR(IF(VLOOKUP('Data Entry Form'!$BS40,tblData[],COLUMN(INDIRECT("tblData[[Best results]]")),0)=0,"",VLOOKUP('Data Entry Form'!$BS40,tblData[],COLUMN(INDIRECT("tblData[[Best results]]")),0)),"")</f>
        <v/>
      </c>
      <c r="I36" s="532"/>
      <c r="J36" s="106" t="str">
        <f ca="1">IFERROR(IF(VLOOKUP('Data Entry Form'!$BS40,tblData[],COLUMN(INDIRECT("tblData[[Training Camp]]")),0)=0,"NO",VLOOKUP('Data Entry Form'!$BS40,tblData[],COLUMN(INDIRECT("tblData[[Training Camp]]")),0)),"")</f>
        <v/>
      </c>
    </row>
    <row r="37" spans="1:10" s="109" customFormat="1" ht="15" customHeight="1">
      <c r="A37" s="99">
        <f t="shared" si="0"/>
        <v>28</v>
      </c>
      <c r="B37" s="100" t="str">
        <f ca="1">IFERROR(VLOOKUP('Data Entry Form'!$BS41,tblData[],COLUMN(INDIRECT("tblData[[SubType1]]")),0),"")</f>
        <v/>
      </c>
      <c r="C37" s="531" t="str">
        <f ca="1">IFERROR(VLOOKUP('Data Entry Form'!$BS41,tblData[],COLUMN(INDIRECT("tblData[[Surname]]")),0),"")</f>
        <v/>
      </c>
      <c r="D37" s="531"/>
      <c r="E37" s="531" t="str">
        <f ca="1">IFERROR(VLOOKUP('Data Entry Form'!$BS41,tblData[],COLUMN(INDIRECT("tblData[[Given name]]")),0),"")</f>
        <v/>
      </c>
      <c r="F37" s="531"/>
      <c r="G37" s="105" t="str">
        <f ca="1">IFERROR(IF(VLOOKUP('Data Entry Form'!$BS41,tblData[],COLUMN(INDIRECT("tblData[[Date of Birth]]")),0)=0,"",VLOOKUP('Data Entry Form'!$BS41,tblData[],COLUMN(INDIRECT("tblData[[Date of Birth]]")),0)),"")</f>
        <v/>
      </c>
      <c r="H37" s="532" t="str">
        <f ca="1">IFERROR(IF(VLOOKUP('Data Entry Form'!$BS41,tblData[],COLUMN(INDIRECT("tblData[[Best results]]")),0)=0,"",VLOOKUP('Data Entry Form'!$BS41,tblData[],COLUMN(INDIRECT("tblData[[Best results]]")),0)),"")</f>
        <v/>
      </c>
      <c r="I37" s="532"/>
      <c r="J37" s="106" t="str">
        <f ca="1">IFERROR(IF(VLOOKUP('Data Entry Form'!$BS41,tblData[],COLUMN(INDIRECT("tblData[[Training Camp]]")),0)=0,"NO",VLOOKUP('Data Entry Form'!$BS41,tblData[],COLUMN(INDIRECT("tblData[[Training Camp]]")),0)),"")</f>
        <v/>
      </c>
    </row>
    <row r="38" spans="1:10" s="109" customFormat="1" ht="15" customHeight="1">
      <c r="A38" s="99">
        <f t="shared" si="0"/>
        <v>29</v>
      </c>
      <c r="B38" s="100" t="str">
        <f ca="1">IFERROR(VLOOKUP('Data Entry Form'!$BS42,tblData[],COLUMN(INDIRECT("tblData[[SubType1]]")),0),"")</f>
        <v/>
      </c>
      <c r="C38" s="531" t="str">
        <f ca="1">IFERROR(VLOOKUP('Data Entry Form'!$BS42,tblData[],COLUMN(INDIRECT("tblData[[Surname]]")),0),"")</f>
        <v/>
      </c>
      <c r="D38" s="531"/>
      <c r="E38" s="531" t="str">
        <f ca="1">IFERROR(VLOOKUP('Data Entry Form'!$BS42,tblData[],COLUMN(INDIRECT("tblData[[Given name]]")),0),"")</f>
        <v/>
      </c>
      <c r="F38" s="531"/>
      <c r="G38" s="105" t="str">
        <f ca="1">IFERROR(IF(VLOOKUP('Data Entry Form'!$BS42,tblData[],COLUMN(INDIRECT("tblData[[Date of Birth]]")),0)=0,"",VLOOKUP('Data Entry Form'!$BS42,tblData[],COLUMN(INDIRECT("tblData[[Date of Birth]]")),0)),"")</f>
        <v/>
      </c>
      <c r="H38" s="532" t="str">
        <f ca="1">IFERROR(IF(VLOOKUP('Data Entry Form'!$BS42,tblData[],COLUMN(INDIRECT("tblData[[Best results]]")),0)=0,"",VLOOKUP('Data Entry Form'!$BS42,tblData[],COLUMN(INDIRECT("tblData[[Best results]]")),0)),"")</f>
        <v/>
      </c>
      <c r="I38" s="532"/>
      <c r="J38" s="106" t="str">
        <f ca="1">IFERROR(IF(VLOOKUP('Data Entry Form'!$BS42,tblData[],COLUMN(INDIRECT("tblData[[Training Camp]]")),0)=0,"NO",VLOOKUP('Data Entry Form'!$BS42,tblData[],COLUMN(INDIRECT("tblData[[Training Camp]]")),0)),"")</f>
        <v/>
      </c>
    </row>
    <row r="39" spans="1:10" s="109" customFormat="1" ht="15" customHeight="1">
      <c r="A39" s="99">
        <f t="shared" si="0"/>
        <v>30</v>
      </c>
      <c r="B39" s="100" t="str">
        <f ca="1">IFERROR(VLOOKUP('Data Entry Form'!$BS43,tblData[],COLUMN(INDIRECT("tblData[[SubType1]]")),0),"")</f>
        <v/>
      </c>
      <c r="C39" s="531" t="str">
        <f ca="1">IFERROR(VLOOKUP('Data Entry Form'!$BS43,tblData[],COLUMN(INDIRECT("tblData[[Surname]]")),0),"")</f>
        <v/>
      </c>
      <c r="D39" s="531"/>
      <c r="E39" s="531" t="str">
        <f ca="1">IFERROR(VLOOKUP('Data Entry Form'!$BS43,tblData[],COLUMN(INDIRECT("tblData[[Given name]]")),0),"")</f>
        <v/>
      </c>
      <c r="F39" s="531"/>
      <c r="G39" s="105" t="str">
        <f ca="1">IFERROR(IF(VLOOKUP('Data Entry Form'!$BS43,tblData[],COLUMN(INDIRECT("tblData[[Date of Birth]]")),0)=0,"",VLOOKUP('Data Entry Form'!$BS43,tblData[],COLUMN(INDIRECT("tblData[[Date of Birth]]")),0)),"")</f>
        <v/>
      </c>
      <c r="H39" s="532" t="str">
        <f ca="1">IFERROR(IF(VLOOKUP('Data Entry Form'!$BS43,tblData[],COLUMN(INDIRECT("tblData[[Best results]]")),0)=0,"",VLOOKUP('Data Entry Form'!$BS43,tblData[],COLUMN(INDIRECT("tblData[[Best results]]")),0)),"")</f>
        <v/>
      </c>
      <c r="I39" s="532"/>
      <c r="J39" s="106" t="str">
        <f ca="1">IFERROR(IF(VLOOKUP('Data Entry Form'!$BS43,tblData[],COLUMN(INDIRECT("tblData[[Training Camp]]")),0)=0,"NO",VLOOKUP('Data Entry Form'!$BS43,tblData[],COLUMN(INDIRECT("tblData[[Training Camp]]")),0)),"")</f>
        <v/>
      </c>
    </row>
    <row r="40" spans="1:10" s="109" customFormat="1" ht="15" customHeight="1">
      <c r="A40" s="99">
        <f t="shared" si="0"/>
        <v>31</v>
      </c>
      <c r="B40" s="100" t="str">
        <f ca="1">IFERROR(VLOOKUP('Data Entry Form'!$BS44,tblData[],COLUMN(INDIRECT("tblData[[SubType1]]")),0),"")</f>
        <v/>
      </c>
      <c r="C40" s="531" t="str">
        <f ca="1">IFERROR(VLOOKUP('Data Entry Form'!$BS44,tblData[],COLUMN(INDIRECT("tblData[[Surname]]")),0),"")</f>
        <v/>
      </c>
      <c r="D40" s="531"/>
      <c r="E40" s="531" t="str">
        <f ca="1">IFERROR(VLOOKUP('Data Entry Form'!$BS44,tblData[],COLUMN(INDIRECT("tblData[[Given name]]")),0),"")</f>
        <v/>
      </c>
      <c r="F40" s="531"/>
      <c r="G40" s="105" t="str">
        <f ca="1">IFERROR(IF(VLOOKUP('Data Entry Form'!$BS44,tblData[],COLUMN(INDIRECT("tblData[[Date of Birth]]")),0)=0,"",VLOOKUP('Data Entry Form'!$BS44,tblData[],COLUMN(INDIRECT("tblData[[Date of Birth]]")),0)),"")</f>
        <v/>
      </c>
      <c r="H40" s="532" t="str">
        <f ca="1">IFERROR(IF(VLOOKUP('Data Entry Form'!$BS44,tblData[],COLUMN(INDIRECT("tblData[[Best results]]")),0)=0,"",VLOOKUP('Data Entry Form'!$BS44,tblData[],COLUMN(INDIRECT("tblData[[Best results]]")),0)),"")</f>
        <v/>
      </c>
      <c r="I40" s="532"/>
      <c r="J40" s="106" t="str">
        <f ca="1">IFERROR(IF(VLOOKUP('Data Entry Form'!$BS44,tblData[],COLUMN(INDIRECT("tblData[[Training Camp]]")),0)=0,"NO",VLOOKUP('Data Entry Form'!$BS44,tblData[],COLUMN(INDIRECT("tblData[[Training Camp]]")),0)),"")</f>
        <v/>
      </c>
    </row>
    <row r="41" spans="1:10" s="109" customFormat="1" ht="15" customHeight="1">
      <c r="A41" s="99">
        <f t="shared" si="0"/>
        <v>32</v>
      </c>
      <c r="B41" s="100" t="str">
        <f ca="1">IFERROR(VLOOKUP('Data Entry Form'!$BS45,tblData[],COLUMN(INDIRECT("tblData[[SubType1]]")),0),"")</f>
        <v/>
      </c>
      <c r="C41" s="531" t="str">
        <f ca="1">IFERROR(VLOOKUP('Data Entry Form'!$BS45,tblData[],COLUMN(INDIRECT("tblData[[Surname]]")),0),"")</f>
        <v/>
      </c>
      <c r="D41" s="531"/>
      <c r="E41" s="531" t="str">
        <f ca="1">IFERROR(VLOOKUP('Data Entry Form'!$BS45,tblData[],COLUMN(INDIRECT("tblData[[Given name]]")),0),"")</f>
        <v/>
      </c>
      <c r="F41" s="531"/>
      <c r="G41" s="105" t="str">
        <f ca="1">IFERROR(IF(VLOOKUP('Data Entry Form'!$BS45,tblData[],COLUMN(INDIRECT("tblData[[Date of Birth]]")),0)=0,"",VLOOKUP('Data Entry Form'!$BS45,tblData[],COLUMN(INDIRECT("tblData[[Date of Birth]]")),0)),"")</f>
        <v/>
      </c>
      <c r="H41" s="532" t="str">
        <f ca="1">IFERROR(IF(VLOOKUP('Data Entry Form'!$BS45,tblData[],COLUMN(INDIRECT("tblData[[Best results]]")),0)=0,"",VLOOKUP('Data Entry Form'!$BS45,tblData[],COLUMN(INDIRECT("tblData[[Best results]]")),0)),"")</f>
        <v/>
      </c>
      <c r="I41" s="532"/>
      <c r="J41" s="106" t="str">
        <f ca="1">IFERROR(IF(VLOOKUP('Data Entry Form'!$BS45,tblData[],COLUMN(INDIRECT("tblData[[Training Camp]]")),0)=0,"NO",VLOOKUP('Data Entry Form'!$BS45,tblData[],COLUMN(INDIRECT("tblData[[Training Camp]]")),0)),"")</f>
        <v/>
      </c>
    </row>
    <row r="42" spans="1:10" s="109" customFormat="1" ht="15" customHeight="1">
      <c r="A42" s="99">
        <f t="shared" si="0"/>
        <v>33</v>
      </c>
      <c r="B42" s="100" t="str">
        <f ca="1">IFERROR(VLOOKUP('Data Entry Form'!$BS46,tblData[],COLUMN(INDIRECT("tblData[[SubType1]]")),0),"")</f>
        <v/>
      </c>
      <c r="C42" s="531" t="str">
        <f ca="1">IFERROR(VLOOKUP('Data Entry Form'!$BS46,tblData[],COLUMN(INDIRECT("tblData[[Surname]]")),0),"")</f>
        <v/>
      </c>
      <c r="D42" s="531"/>
      <c r="E42" s="531" t="str">
        <f ca="1">IFERROR(VLOOKUP('Data Entry Form'!$BS46,tblData[],COLUMN(INDIRECT("tblData[[Given name]]")),0),"")</f>
        <v/>
      </c>
      <c r="F42" s="531"/>
      <c r="G42" s="105" t="str">
        <f ca="1">IFERROR(IF(VLOOKUP('Data Entry Form'!$BS46,tblData[],COLUMN(INDIRECT("tblData[[Date of Birth]]")),0)=0,"",VLOOKUP('Data Entry Form'!$BS46,tblData[],COLUMN(INDIRECT("tblData[[Date of Birth]]")),0)),"")</f>
        <v/>
      </c>
      <c r="H42" s="532" t="str">
        <f ca="1">IFERROR(IF(VLOOKUP('Data Entry Form'!$BS46,tblData[],COLUMN(INDIRECT("tblData[[Best results]]")),0)=0,"",VLOOKUP('Data Entry Form'!$BS46,tblData[],COLUMN(INDIRECT("tblData[[Best results]]")),0)),"")</f>
        <v/>
      </c>
      <c r="I42" s="532"/>
      <c r="J42" s="106" t="str">
        <f ca="1">IFERROR(IF(VLOOKUP('Data Entry Form'!$BS46,tblData[],COLUMN(INDIRECT("tblData[[Training Camp]]")),0)=0,"NO",VLOOKUP('Data Entry Form'!$BS46,tblData[],COLUMN(INDIRECT("tblData[[Training Camp]]")),0)),"")</f>
        <v/>
      </c>
    </row>
    <row r="43" spans="1:10" s="109" customFormat="1" ht="15" customHeight="1">
      <c r="A43" s="99">
        <f t="shared" si="0"/>
        <v>34</v>
      </c>
      <c r="B43" s="100" t="str">
        <f ca="1">IFERROR(VLOOKUP('Data Entry Form'!$BS47,tblData[],COLUMN(INDIRECT("tblData[[SubType1]]")),0),"")</f>
        <v/>
      </c>
      <c r="C43" s="531" t="str">
        <f ca="1">IFERROR(VLOOKUP('Data Entry Form'!$BS47,tblData[],COLUMN(INDIRECT("tblData[[Surname]]")),0),"")</f>
        <v/>
      </c>
      <c r="D43" s="531"/>
      <c r="E43" s="531" t="str">
        <f ca="1">IFERROR(VLOOKUP('Data Entry Form'!$BS47,tblData[],COLUMN(INDIRECT("tblData[[Given name]]")),0),"")</f>
        <v/>
      </c>
      <c r="F43" s="531"/>
      <c r="G43" s="105" t="str">
        <f ca="1">IFERROR(IF(VLOOKUP('Data Entry Form'!$BS47,tblData[],COLUMN(INDIRECT("tblData[[Date of Birth]]")),0)=0,"",VLOOKUP('Data Entry Form'!$BS47,tblData[],COLUMN(INDIRECT("tblData[[Date of Birth]]")),0)),"")</f>
        <v/>
      </c>
      <c r="H43" s="532" t="str">
        <f ca="1">IFERROR(IF(VLOOKUP('Data Entry Form'!$BS47,tblData[],COLUMN(INDIRECT("tblData[[Best results]]")),0)=0,"",VLOOKUP('Data Entry Form'!$BS47,tblData[],COLUMN(INDIRECT("tblData[[Best results]]")),0)),"")</f>
        <v/>
      </c>
      <c r="I43" s="532"/>
      <c r="J43" s="106" t="str">
        <f ca="1">IFERROR(IF(VLOOKUP('Data Entry Form'!$BS47,tblData[],COLUMN(INDIRECT("tblData[[Training Camp]]")),0)=0,"NO",VLOOKUP('Data Entry Form'!$BS47,tblData[],COLUMN(INDIRECT("tblData[[Training Camp]]")),0)),"")</f>
        <v/>
      </c>
    </row>
    <row r="44" spans="1:10" s="109" customFormat="1" ht="15" customHeight="1">
      <c r="A44" s="99">
        <f t="shared" si="0"/>
        <v>35</v>
      </c>
      <c r="B44" s="100" t="str">
        <f ca="1">IFERROR(VLOOKUP('Data Entry Form'!$BS48,tblData[],COLUMN(INDIRECT("tblData[[SubType1]]")),0),"")</f>
        <v/>
      </c>
      <c r="C44" s="531" t="str">
        <f ca="1">IFERROR(VLOOKUP('Data Entry Form'!$BS48,tblData[],COLUMN(INDIRECT("tblData[[Surname]]")),0),"")</f>
        <v/>
      </c>
      <c r="D44" s="531"/>
      <c r="E44" s="531" t="str">
        <f ca="1">IFERROR(VLOOKUP('Data Entry Form'!$BS48,tblData[],COLUMN(INDIRECT("tblData[[Given name]]")),0),"")</f>
        <v/>
      </c>
      <c r="F44" s="531"/>
      <c r="G44" s="105" t="str">
        <f ca="1">IFERROR(IF(VLOOKUP('Data Entry Form'!$BS48,tblData[],COLUMN(INDIRECT("tblData[[Date of Birth]]")),0)=0,"",VLOOKUP('Data Entry Form'!$BS48,tblData[],COLUMN(INDIRECT("tblData[[Date of Birth]]")),0)),"")</f>
        <v/>
      </c>
      <c r="H44" s="532" t="str">
        <f ca="1">IFERROR(IF(VLOOKUP('Data Entry Form'!$BS48,tblData[],COLUMN(INDIRECT("tblData[[Best results]]")),0)=0,"",VLOOKUP('Data Entry Form'!$BS48,tblData[],COLUMN(INDIRECT("tblData[[Best results]]")),0)),"")</f>
        <v/>
      </c>
      <c r="I44" s="532"/>
      <c r="J44" s="106" t="str">
        <f ca="1">IFERROR(IF(VLOOKUP('Data Entry Form'!$BS48,tblData[],COLUMN(INDIRECT("tblData[[Training Camp]]")),0)=0,"NO",VLOOKUP('Data Entry Form'!$BS48,tblData[],COLUMN(INDIRECT("tblData[[Training Camp]]")),0)),"")</f>
        <v/>
      </c>
    </row>
    <row r="45" spans="1:10" s="109" customFormat="1" ht="15" customHeight="1">
      <c r="A45" s="99">
        <f t="shared" si="0"/>
        <v>36</v>
      </c>
      <c r="B45" s="100" t="str">
        <f ca="1">IFERROR(VLOOKUP('Data Entry Form'!$BS49,tblData[],COLUMN(INDIRECT("tblData[[SubType1]]")),0),"")</f>
        <v/>
      </c>
      <c r="C45" s="531" t="str">
        <f ca="1">IFERROR(VLOOKUP('Data Entry Form'!$BS49,tblData[],COLUMN(INDIRECT("tblData[[Surname]]")),0),"")</f>
        <v/>
      </c>
      <c r="D45" s="531"/>
      <c r="E45" s="531" t="str">
        <f ca="1">IFERROR(VLOOKUP('Data Entry Form'!$BS49,tblData[],COLUMN(INDIRECT("tblData[[Given name]]")),0),"")</f>
        <v/>
      </c>
      <c r="F45" s="531"/>
      <c r="G45" s="105" t="str">
        <f ca="1">IFERROR(IF(VLOOKUP('Data Entry Form'!$BS49,tblData[],COLUMN(INDIRECT("tblData[[Date of Birth]]")),0)=0,"",VLOOKUP('Data Entry Form'!$BS49,tblData[],COLUMN(INDIRECT("tblData[[Date of Birth]]")),0)),"")</f>
        <v/>
      </c>
      <c r="H45" s="532" t="str">
        <f ca="1">IFERROR(IF(VLOOKUP('Data Entry Form'!$BS49,tblData[],COLUMN(INDIRECT("tblData[[Best results]]")),0)=0,"",VLOOKUP('Data Entry Form'!$BS49,tblData[],COLUMN(INDIRECT("tblData[[Best results]]")),0)),"")</f>
        <v/>
      </c>
      <c r="I45" s="532"/>
      <c r="J45" s="106" t="str">
        <f ca="1">IFERROR(IF(VLOOKUP('Data Entry Form'!$BS49,tblData[],COLUMN(INDIRECT("tblData[[Training Camp]]")),0)=0,"NO",VLOOKUP('Data Entry Form'!$BS49,tblData[],COLUMN(INDIRECT("tblData[[Training Camp]]")),0)),"")</f>
        <v/>
      </c>
    </row>
    <row r="46" spans="1:10" s="109" customFormat="1" ht="15" customHeight="1">
      <c r="A46" s="99">
        <f t="shared" si="0"/>
        <v>37</v>
      </c>
      <c r="B46" s="100" t="str">
        <f ca="1">IFERROR(VLOOKUP('Data Entry Form'!$BS50,tblData[],COLUMN(INDIRECT("tblData[[SubType1]]")),0),"")</f>
        <v/>
      </c>
      <c r="C46" s="531" t="str">
        <f ca="1">IFERROR(VLOOKUP('Data Entry Form'!$BS50,tblData[],COLUMN(INDIRECT("tblData[[Surname]]")),0),"")</f>
        <v/>
      </c>
      <c r="D46" s="531"/>
      <c r="E46" s="531" t="str">
        <f ca="1">IFERROR(VLOOKUP('Data Entry Form'!$BS50,tblData[],COLUMN(INDIRECT("tblData[[Given name]]")),0),"")</f>
        <v/>
      </c>
      <c r="F46" s="531"/>
      <c r="G46" s="105" t="str">
        <f ca="1">IFERROR(IF(VLOOKUP('Data Entry Form'!$BS50,tblData[],COLUMN(INDIRECT("tblData[[Date of Birth]]")),0)=0,"",VLOOKUP('Data Entry Form'!$BS50,tblData[],COLUMN(INDIRECT("tblData[[Date of Birth]]")),0)),"")</f>
        <v/>
      </c>
      <c r="H46" s="532" t="str">
        <f ca="1">IFERROR(IF(VLOOKUP('Data Entry Form'!$BS50,tblData[],COLUMN(INDIRECT("tblData[[Best results]]")),0)=0,"",VLOOKUP('Data Entry Form'!$BS50,tblData[],COLUMN(INDIRECT("tblData[[Best results]]")),0)),"")</f>
        <v/>
      </c>
      <c r="I46" s="532"/>
      <c r="J46" s="106" t="str">
        <f ca="1">IFERROR(IF(VLOOKUP('Data Entry Form'!$BS50,tblData[],COLUMN(INDIRECT("tblData[[Training Camp]]")),0)=0,"NO",VLOOKUP('Data Entry Form'!$BS50,tblData[],COLUMN(INDIRECT("tblData[[Training Camp]]")),0)),"")</f>
        <v/>
      </c>
    </row>
    <row r="47" spans="1:10" s="109" customFormat="1" ht="15" customHeight="1">
      <c r="A47" s="99">
        <f t="shared" si="0"/>
        <v>38</v>
      </c>
      <c r="B47" s="100" t="str">
        <f ca="1">IFERROR(VLOOKUP('Data Entry Form'!$BS51,tblData[],COLUMN(INDIRECT("tblData[[SubType1]]")),0),"")</f>
        <v/>
      </c>
      <c r="C47" s="531" t="str">
        <f ca="1">IFERROR(VLOOKUP('Data Entry Form'!$BS51,tblData[],COLUMN(INDIRECT("tblData[[Surname]]")),0),"")</f>
        <v/>
      </c>
      <c r="D47" s="531"/>
      <c r="E47" s="531" t="str">
        <f ca="1">IFERROR(VLOOKUP('Data Entry Form'!$BS51,tblData[],COLUMN(INDIRECT("tblData[[Given name]]")),0),"")</f>
        <v/>
      </c>
      <c r="F47" s="531"/>
      <c r="G47" s="105" t="str">
        <f ca="1">IFERROR(IF(VLOOKUP('Data Entry Form'!$BS51,tblData[],COLUMN(INDIRECT("tblData[[Date of Birth]]")),0)=0,"",VLOOKUP('Data Entry Form'!$BS51,tblData[],COLUMN(INDIRECT("tblData[[Date of Birth]]")),0)),"")</f>
        <v/>
      </c>
      <c r="H47" s="532" t="str">
        <f ca="1">IFERROR(IF(VLOOKUP('Data Entry Form'!$BS51,tblData[],COLUMN(INDIRECT("tblData[[Best results]]")),0)=0,"",VLOOKUP('Data Entry Form'!$BS51,tblData[],COLUMN(INDIRECT("tblData[[Best results]]")),0)),"")</f>
        <v/>
      </c>
      <c r="I47" s="532"/>
      <c r="J47" s="106" t="str">
        <f ca="1">IFERROR(IF(VLOOKUP('Data Entry Form'!$BS51,tblData[],COLUMN(INDIRECT("tblData[[Training Camp]]")),0)=0,"NO",VLOOKUP('Data Entry Form'!$BS51,tblData[],COLUMN(INDIRECT("tblData[[Training Camp]]")),0)),"")</f>
        <v/>
      </c>
    </row>
    <row r="48" spans="1:10" s="109" customFormat="1" ht="15" customHeight="1">
      <c r="A48" s="99">
        <f t="shared" si="0"/>
        <v>39</v>
      </c>
      <c r="B48" s="100" t="str">
        <f ca="1">IFERROR(VLOOKUP('Data Entry Form'!$BS52,tblData[],COLUMN(INDIRECT("tblData[[SubType1]]")),0),"")</f>
        <v/>
      </c>
      <c r="C48" s="531" t="str">
        <f ca="1">IFERROR(VLOOKUP('Data Entry Form'!$BS52,tblData[],COLUMN(INDIRECT("tblData[[Surname]]")),0),"")</f>
        <v/>
      </c>
      <c r="D48" s="531"/>
      <c r="E48" s="531" t="str">
        <f ca="1">IFERROR(VLOOKUP('Data Entry Form'!$BS52,tblData[],COLUMN(INDIRECT("tblData[[Given name]]")),0),"")</f>
        <v/>
      </c>
      <c r="F48" s="531"/>
      <c r="G48" s="105" t="str">
        <f ca="1">IFERROR(IF(VLOOKUP('Data Entry Form'!$BS52,tblData[],COLUMN(INDIRECT("tblData[[Date of Birth]]")),0)=0,"",VLOOKUP('Data Entry Form'!$BS52,tblData[],COLUMN(INDIRECT("tblData[[Date of Birth]]")),0)),"")</f>
        <v/>
      </c>
      <c r="H48" s="532" t="str">
        <f ca="1">IFERROR(IF(VLOOKUP('Data Entry Form'!$BS52,tblData[],COLUMN(INDIRECT("tblData[[Best results]]")),0)=0,"",VLOOKUP('Data Entry Form'!$BS52,tblData[],COLUMN(INDIRECT("tblData[[Best results]]")),0)),"")</f>
        <v/>
      </c>
      <c r="I48" s="532"/>
      <c r="J48" s="106" t="str">
        <f ca="1">IFERROR(IF(VLOOKUP('Data Entry Form'!$BS52,tblData[],COLUMN(INDIRECT("tblData[[Training Camp]]")),0)=0,"NO",VLOOKUP('Data Entry Form'!$BS52,tblData[],COLUMN(INDIRECT("tblData[[Training Camp]]")),0)),"")</f>
        <v/>
      </c>
    </row>
    <row r="49" spans="1:10" s="109" customFormat="1" ht="15" customHeight="1" thickBot="1">
      <c r="A49" s="101">
        <f t="shared" si="0"/>
        <v>40</v>
      </c>
      <c r="B49" s="102" t="str">
        <f ca="1">IFERROR(VLOOKUP('Data Entry Form'!$BS53,tblData[],COLUMN(INDIRECT("tblData[[SubType1]]")),0),"")</f>
        <v/>
      </c>
      <c r="C49" s="533" t="str">
        <f ca="1">IFERROR(VLOOKUP('Data Entry Form'!$BS53,tblData[],COLUMN(INDIRECT("tblData[[Surname]]")),0),"")</f>
        <v/>
      </c>
      <c r="D49" s="533"/>
      <c r="E49" s="533" t="str">
        <f ca="1">IFERROR(VLOOKUP('Data Entry Form'!$BS53,tblData[],COLUMN(INDIRECT("tblData[[Given name]]")),0),"")</f>
        <v/>
      </c>
      <c r="F49" s="533"/>
      <c r="G49" s="107" t="str">
        <f ca="1">IFERROR(IF(VLOOKUP('Data Entry Form'!$BS53,tblData[],COLUMN(INDIRECT("tblData[[Date of Birth]]")),0)=0,"",VLOOKUP('Data Entry Form'!$BS53,tblData[],COLUMN(INDIRECT("tblData[[Date of Birth]]")),0)),"")</f>
        <v/>
      </c>
      <c r="H49" s="534" t="str">
        <f ca="1">IFERROR(IF(VLOOKUP('Data Entry Form'!$BS53,tblData[],COLUMN(INDIRECT("tblData[[Best results]]")),0)=0,"",VLOOKUP('Data Entry Form'!$BS53,tblData[],COLUMN(INDIRECT("tblData[[Best results]]")),0)),"")</f>
        <v/>
      </c>
      <c r="I49" s="534"/>
      <c r="J49" s="108" t="str">
        <f ca="1">IFERROR(IF(VLOOKUP('Data Entry Form'!$BS53,tblData[],COLUMN(INDIRECT("tblData[[Training Camp]]")),0)=0,"NO",VLOOKUP('Data Entry Form'!$BS53,tblData[],COLUMN(INDIRECT("tblData[[Training Camp]]")),0)),"")</f>
        <v/>
      </c>
    </row>
  </sheetData>
  <sheetProtection password="E8E9" sheet="1" objects="1" scenarios="1"/>
  <mergeCells count="129">
    <mergeCell ref="C43:D43"/>
    <mergeCell ref="E43:F43"/>
    <mergeCell ref="C39:D39"/>
    <mergeCell ref="E39:F39"/>
    <mergeCell ref="H39:I39"/>
    <mergeCell ref="C41:D41"/>
    <mergeCell ref="E41:F41"/>
    <mergeCell ref="H41:I41"/>
    <mergeCell ref="C42:D42"/>
    <mergeCell ref="E42:F42"/>
    <mergeCell ref="H42:I42"/>
    <mergeCell ref="H43:I43"/>
    <mergeCell ref="C36:D36"/>
    <mergeCell ref="E36:F36"/>
    <mergeCell ref="H36:I36"/>
    <mergeCell ref="C37:D37"/>
    <mergeCell ref="E37:F37"/>
    <mergeCell ref="H37:I37"/>
    <mergeCell ref="C38:D38"/>
    <mergeCell ref="E38:F38"/>
    <mergeCell ref="H38:I38"/>
    <mergeCell ref="C33:D33"/>
    <mergeCell ref="E33:F33"/>
    <mergeCell ref="H33:I33"/>
    <mergeCell ref="C34:D34"/>
    <mergeCell ref="E34:F34"/>
    <mergeCell ref="H34:I34"/>
    <mergeCell ref="C35:D35"/>
    <mergeCell ref="E35:F35"/>
    <mergeCell ref="H35:I35"/>
    <mergeCell ref="C30:D30"/>
    <mergeCell ref="E30:F30"/>
    <mergeCell ref="H30:I30"/>
    <mergeCell ref="C31:D31"/>
    <mergeCell ref="E31:F31"/>
    <mergeCell ref="H31:I31"/>
    <mergeCell ref="C32:D32"/>
    <mergeCell ref="E32:F32"/>
    <mergeCell ref="H32:I32"/>
    <mergeCell ref="C27:D27"/>
    <mergeCell ref="E27:F27"/>
    <mergeCell ref="H27:I27"/>
    <mergeCell ref="C28:D28"/>
    <mergeCell ref="E28:F28"/>
    <mergeCell ref="H28:I28"/>
    <mergeCell ref="C29:D29"/>
    <mergeCell ref="E29:F29"/>
    <mergeCell ref="H29:I29"/>
    <mergeCell ref="C24:D24"/>
    <mergeCell ref="E24:F24"/>
    <mergeCell ref="H24:I24"/>
    <mergeCell ref="C25:D25"/>
    <mergeCell ref="E25:F25"/>
    <mergeCell ref="H25:I25"/>
    <mergeCell ref="C26:D26"/>
    <mergeCell ref="E26:F26"/>
    <mergeCell ref="H26:I26"/>
    <mergeCell ref="C21:D21"/>
    <mergeCell ref="E21:F21"/>
    <mergeCell ref="H21:I21"/>
    <mergeCell ref="C22:D22"/>
    <mergeCell ref="E22:F22"/>
    <mergeCell ref="H22:I22"/>
    <mergeCell ref="C23:D23"/>
    <mergeCell ref="E23:F23"/>
    <mergeCell ref="H23:I23"/>
    <mergeCell ref="C18:D18"/>
    <mergeCell ref="E18:F18"/>
    <mergeCell ref="H18:I18"/>
    <mergeCell ref="C19:D19"/>
    <mergeCell ref="E19:F19"/>
    <mergeCell ref="H19:I19"/>
    <mergeCell ref="C20:D20"/>
    <mergeCell ref="E20:F20"/>
    <mergeCell ref="H20:I20"/>
    <mergeCell ref="C15:D15"/>
    <mergeCell ref="E15:F15"/>
    <mergeCell ref="H15:I15"/>
    <mergeCell ref="C16:D16"/>
    <mergeCell ref="E16:F16"/>
    <mergeCell ref="H16:I16"/>
    <mergeCell ref="C17:D17"/>
    <mergeCell ref="E17:F17"/>
    <mergeCell ref="H17:I17"/>
    <mergeCell ref="C12:D12"/>
    <mergeCell ref="E12:F12"/>
    <mergeCell ref="H12:I12"/>
    <mergeCell ref="C13:D13"/>
    <mergeCell ref="E13:F13"/>
    <mergeCell ref="H13:I13"/>
    <mergeCell ref="C14:D14"/>
    <mergeCell ref="E14:F14"/>
    <mergeCell ref="H14:I14"/>
    <mergeCell ref="C44:D44"/>
    <mergeCell ref="E44:F44"/>
    <mergeCell ref="H44:I44"/>
    <mergeCell ref="C45:D45"/>
    <mergeCell ref="E45:F45"/>
    <mergeCell ref="H45:I45"/>
    <mergeCell ref="A1:J1"/>
    <mergeCell ref="A2:J2"/>
    <mergeCell ref="C40:D40"/>
    <mergeCell ref="E40:F40"/>
    <mergeCell ref="H40:I40"/>
    <mergeCell ref="A4:J4"/>
    <mergeCell ref="A5:J5"/>
    <mergeCell ref="A7:C7"/>
    <mergeCell ref="D7:J7"/>
    <mergeCell ref="C9:D9"/>
    <mergeCell ref="E9:F9"/>
    <mergeCell ref="H9:I9"/>
    <mergeCell ref="C10:D10"/>
    <mergeCell ref="E10:F10"/>
    <mergeCell ref="H10:I10"/>
    <mergeCell ref="C11:D11"/>
    <mergeCell ref="E11:F11"/>
    <mergeCell ref="H11:I11"/>
    <mergeCell ref="C48:D48"/>
    <mergeCell ref="E48:F48"/>
    <mergeCell ref="H48:I48"/>
    <mergeCell ref="C49:D49"/>
    <mergeCell ref="E49:F49"/>
    <mergeCell ref="H49:I49"/>
    <mergeCell ref="C46:D46"/>
    <mergeCell ref="E46:F46"/>
    <mergeCell ref="H46:I46"/>
    <mergeCell ref="C47:D47"/>
    <mergeCell ref="E47:F47"/>
    <mergeCell ref="H47:I47"/>
  </mergeCells>
  <phoneticPr fontId="8" type="noConversion"/>
  <printOptions horizontalCentered="1"/>
  <pageMargins left="0.78740157480314965" right="0.39370078740157483" top="0.39370078740157483" bottom="0.59055118110236227" header="0.19685039370078741" footer="0.19685039370078741"/>
  <pageSetup paperSize="9" scale="97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Tabelle6">
    <tabColor rgb="FF145A99"/>
    <pageSetUpPr fitToPage="1"/>
  </sheetPr>
  <dimension ref="A1:L68"/>
  <sheetViews>
    <sheetView showGridLines="0" showRowColHeaders="0" zoomScaleNormal="100" workbookViewId="0">
      <selection activeCell="D6" sqref="D6:J6"/>
    </sheetView>
  </sheetViews>
  <sheetFormatPr baseColWidth="10" defaultColWidth="10.875" defaultRowHeight="15.75"/>
  <cols>
    <col min="1" max="1" width="4.125" style="92" customWidth="1"/>
    <col min="2" max="3" width="14.875" style="92" customWidth="1"/>
    <col min="4" max="4" width="10.875" style="92"/>
    <col min="5" max="5" width="12" style="110" customWidth="1"/>
    <col min="6" max="7" width="14.875" style="92" customWidth="1"/>
    <col min="8" max="8" width="13" style="92" customWidth="1"/>
    <col min="9" max="9" width="12" style="111" customWidth="1"/>
    <col min="10" max="10" width="12" style="110" customWidth="1"/>
    <col min="11" max="16384" width="10.875" style="92"/>
  </cols>
  <sheetData>
    <row r="1" spans="1:12" ht="26.25">
      <c r="A1" s="499" t="str">
        <f>Header1</f>
        <v>JUNIOR EUROPEAN JUDO CUP</v>
      </c>
      <c r="B1" s="499"/>
      <c r="C1" s="499"/>
      <c r="D1" s="499"/>
      <c r="E1" s="499"/>
      <c r="F1" s="499"/>
      <c r="G1" s="499"/>
      <c r="H1" s="499"/>
      <c r="I1" s="499"/>
      <c r="J1" s="499"/>
      <c r="K1" s="91"/>
      <c r="L1" s="91"/>
    </row>
    <row r="2" spans="1:12" ht="39" customHeight="1">
      <c r="A2" s="500" t="str">
        <f>Header2</f>
        <v>IJF WORLD JUNIOR TOUR, June, 02 and 03, 2018 
EJU JUNIOR TRAINING CAMP, June 04 to 06, 2018 (Leibnitz - Austria)</v>
      </c>
      <c r="B2" s="500"/>
      <c r="C2" s="500"/>
      <c r="D2" s="500"/>
      <c r="E2" s="500"/>
      <c r="F2" s="500"/>
      <c r="G2" s="500"/>
      <c r="H2" s="500"/>
      <c r="I2" s="500"/>
      <c r="J2" s="500"/>
      <c r="K2" s="93"/>
      <c r="L2" s="93"/>
    </row>
    <row r="3" spans="1:12" ht="6.95" customHeight="1"/>
    <row r="4" spans="1:12" ht="18.75">
      <c r="A4" s="548" t="s">
        <v>148</v>
      </c>
      <c r="B4" s="548"/>
      <c r="C4" s="548"/>
      <c r="D4" s="548"/>
      <c r="E4" s="548"/>
      <c r="F4" s="548"/>
      <c r="G4" s="548"/>
      <c r="H4" s="548"/>
      <c r="I4" s="548"/>
      <c r="J4" s="548"/>
    </row>
    <row r="5" spans="1:12" ht="6.95" customHeight="1" thickBot="1">
      <c r="A5" s="242"/>
      <c r="B5" s="242"/>
      <c r="C5" s="242"/>
      <c r="D5" s="242"/>
      <c r="E5" s="242"/>
      <c r="F5" s="242"/>
      <c r="G5" s="242"/>
      <c r="H5" s="242"/>
      <c r="I5" s="242"/>
      <c r="J5" s="242"/>
    </row>
    <row r="6" spans="1:12" ht="16.5" thickBot="1">
      <c r="A6" s="544" t="s">
        <v>84</v>
      </c>
      <c r="B6" s="545"/>
      <c r="C6" s="545"/>
      <c r="D6" s="546" t="str">
        <f>IF(ISBLANK(Federation),"",Federation)</f>
        <v/>
      </c>
      <c r="E6" s="546"/>
      <c r="F6" s="546"/>
      <c r="G6" s="546"/>
      <c r="H6" s="546"/>
      <c r="I6" s="546"/>
      <c r="J6" s="547"/>
    </row>
    <row r="7" spans="1:12" ht="6.95" customHeight="1" thickBot="1"/>
    <row r="8" spans="1:12" ht="32.25" thickBot="1">
      <c r="A8" s="255"/>
      <c r="B8" s="256" t="s">
        <v>281</v>
      </c>
      <c r="C8" s="256" t="s">
        <v>282</v>
      </c>
      <c r="D8" s="256" t="s">
        <v>62</v>
      </c>
      <c r="E8" s="257" t="s">
        <v>63</v>
      </c>
      <c r="F8" s="256" t="s">
        <v>64</v>
      </c>
      <c r="G8" s="256" t="s">
        <v>65</v>
      </c>
      <c r="H8" s="256" t="s">
        <v>66</v>
      </c>
      <c r="I8" s="258" t="s">
        <v>67</v>
      </c>
      <c r="J8" s="259" t="s">
        <v>68</v>
      </c>
    </row>
    <row r="9" spans="1:12" s="112" customFormat="1" ht="15.95" customHeight="1">
      <c r="A9" s="251">
        <v>1</v>
      </c>
      <c r="B9" s="252" t="str">
        <f ca="1">IFERROR(VLOOKUP('Data Entry Form'!$BW14,tblSortedNameData,COLUMN(INDIRECT("tblData[[Surname]]"))-1,0),"")</f>
        <v/>
      </c>
      <c r="C9" s="252" t="str">
        <f ca="1">IFERROR(VLOOKUP('Data Entry Form'!$BW14,tblSortedNameData,COLUMN(INDIRECT("tblData[[Given name]]"))-1,0),"")</f>
        <v/>
      </c>
      <c r="D9" s="252" t="str">
        <f ca="1">IFERROR(VLOOKUP('Data Entry Form'!$BW14,tblSortedNameData,COLUMN(INDIRECT("tblData[[Position]]"))-1,0),"")</f>
        <v/>
      </c>
      <c r="E9" s="253" t="str">
        <f ca="1">IFERROR(VLOOKUP('Data Entry Form'!$BW14,tblSortedNameData,COLUMN(INDIRECT("tblData[[Date of birth]]"))-1,0),"")</f>
        <v/>
      </c>
      <c r="F9" s="252" t="str">
        <f ca="1">IFERROR(VLOOKUP('Data Entry Form'!$BW14,tblSortedNameData,COLUMN(INDIRECT("tblData[[Place of Birth]]"))-1,0),"")</f>
        <v/>
      </c>
      <c r="G9" s="252" t="str">
        <f ca="1">IFERROR(VLOOKUP('Data Entry Form'!$BW14,tblSortedNameData,COLUMN(INDIRECT("tblData[[Nationality]]"))-1,0),"")</f>
        <v/>
      </c>
      <c r="H9" s="252" t="str">
        <f ca="1">IFERROR(VLOOKUP('Data Entry Form'!$BW14,tblSortedNameData,COLUMN(INDIRECT("tblData[[Passport Number]]"))-1,0),"")</f>
        <v/>
      </c>
      <c r="I9" s="253" t="str">
        <f ca="1">IFERROR(VLOOKUP('Data Entry Form'!$BW14,tblSortedNameData,COLUMN(INDIRECT("tblData[[Date of issue]]"))-1,0),"")</f>
        <v/>
      </c>
      <c r="J9" s="254" t="str">
        <f ca="1">IFERROR(VLOOKUP('Data Entry Form'!$BW14,tblSortedNameData,COLUMN(INDIRECT("tblData[[Date of expiry]]"))-1,0),"")</f>
        <v/>
      </c>
    </row>
    <row r="10" spans="1:12" s="112" customFormat="1" ht="15.95" customHeight="1">
      <c r="A10" s="243">
        <f>A9+1</f>
        <v>2</v>
      </c>
      <c r="B10" s="244" t="str">
        <f ca="1">IFERROR(VLOOKUP('Data Entry Form'!$BW15,tblSortedNameData,COLUMN(INDIRECT("tblData[[Surname]]"))-1,0),"")</f>
        <v/>
      </c>
      <c r="C10" s="244" t="str">
        <f ca="1">IFERROR(VLOOKUP('Data Entry Form'!$BW15,tblSortedNameData,COLUMN(INDIRECT("tblData[[Given name]]"))-1,0),"")</f>
        <v/>
      </c>
      <c r="D10" s="244" t="str">
        <f ca="1">IFERROR(VLOOKUP('Data Entry Form'!$BW15,tblSortedNameData,COLUMN(INDIRECT("tblData[[Position]]"))-1,0),"")</f>
        <v/>
      </c>
      <c r="E10" s="245" t="str">
        <f ca="1">IFERROR(VLOOKUP('Data Entry Form'!$BW15,tblSortedNameData,COLUMN(INDIRECT("tblData[[Date of birth]]"))-1,0),"")</f>
        <v/>
      </c>
      <c r="F10" s="244" t="str">
        <f ca="1">IFERROR(VLOOKUP('Data Entry Form'!$BW15,tblSortedNameData,COLUMN(INDIRECT("tblData[[Place of Birth]]"))-1,0),"")</f>
        <v/>
      </c>
      <c r="G10" s="244" t="str">
        <f ca="1">IFERROR(VLOOKUP('Data Entry Form'!$BW15,tblSortedNameData,COLUMN(INDIRECT("tblData[[Nationality]]"))-1,0),"")</f>
        <v/>
      </c>
      <c r="H10" s="244" t="str">
        <f ca="1">IFERROR(VLOOKUP('Data Entry Form'!$BW15,tblSortedNameData,COLUMN(INDIRECT("tblData[[Passport Number]]"))-1,0),"")</f>
        <v/>
      </c>
      <c r="I10" s="245" t="str">
        <f ca="1">IFERROR(VLOOKUP('Data Entry Form'!$BW15,tblSortedNameData,COLUMN(INDIRECT("tblData[[Date of issue]]"))-1,0),"")</f>
        <v/>
      </c>
      <c r="J10" s="246" t="str">
        <f ca="1">IFERROR(VLOOKUP('Data Entry Form'!$BW15,tblSortedNameData,COLUMN(INDIRECT("tblData[[Date of expiry]]"))-1,0),"")</f>
        <v/>
      </c>
    </row>
    <row r="11" spans="1:12" s="112" customFormat="1" ht="15.95" customHeight="1">
      <c r="A11" s="243">
        <f t="shared" ref="A11:A68" si="0">A10+1</f>
        <v>3</v>
      </c>
      <c r="B11" s="244" t="str">
        <f ca="1">IFERROR(VLOOKUP('Data Entry Form'!$BW16,tblSortedNameData,COLUMN(INDIRECT("tblData[[Surname]]"))-1,0),"")</f>
        <v/>
      </c>
      <c r="C11" s="244" t="str">
        <f ca="1">IFERROR(VLOOKUP('Data Entry Form'!$BW16,tblSortedNameData,COLUMN(INDIRECT("tblData[[Given name]]"))-1,0),"")</f>
        <v/>
      </c>
      <c r="D11" s="244" t="str">
        <f ca="1">IFERROR(VLOOKUP('Data Entry Form'!$BW16,tblSortedNameData,COLUMN(INDIRECT("tblData[[Position]]"))-1,0),"")</f>
        <v/>
      </c>
      <c r="E11" s="245" t="str">
        <f ca="1">IFERROR(VLOOKUP('Data Entry Form'!$BW16,tblSortedNameData,COLUMN(INDIRECT("tblData[[Date of birth]]"))-1,0),"")</f>
        <v/>
      </c>
      <c r="F11" s="244" t="str">
        <f ca="1">IFERROR(VLOOKUP('Data Entry Form'!$BW16,tblSortedNameData,COLUMN(INDIRECT("tblData[[Place of Birth]]"))-1,0),"")</f>
        <v/>
      </c>
      <c r="G11" s="244" t="str">
        <f ca="1">IFERROR(VLOOKUP('Data Entry Form'!$BW16,tblSortedNameData,COLUMN(INDIRECT("tblData[[Nationality]]"))-1,0),"")</f>
        <v/>
      </c>
      <c r="H11" s="244" t="str">
        <f ca="1">IFERROR(VLOOKUP('Data Entry Form'!$BW16,tblSortedNameData,COLUMN(INDIRECT("tblData[[Passport Number]]"))-1,0),"")</f>
        <v/>
      </c>
      <c r="I11" s="245" t="str">
        <f ca="1">IFERROR(VLOOKUP('Data Entry Form'!$BW16,tblSortedNameData,COLUMN(INDIRECT("tblData[[Date of issue]]"))-1,0),"")</f>
        <v/>
      </c>
      <c r="J11" s="246" t="str">
        <f ca="1">IFERROR(VLOOKUP('Data Entry Form'!$BW16,tblSortedNameData,COLUMN(INDIRECT("tblData[[Date of expiry]]"))-1,0),"")</f>
        <v/>
      </c>
    </row>
    <row r="12" spans="1:12" s="112" customFormat="1" ht="15.95" customHeight="1">
      <c r="A12" s="243">
        <f t="shared" si="0"/>
        <v>4</v>
      </c>
      <c r="B12" s="244" t="str">
        <f ca="1">IFERROR(VLOOKUP('Data Entry Form'!$BW17,tblSortedNameData,COLUMN(INDIRECT("tblData[[Surname]]"))-1,0),"")</f>
        <v/>
      </c>
      <c r="C12" s="244" t="str">
        <f ca="1">IFERROR(VLOOKUP('Data Entry Form'!$BW17,tblSortedNameData,COLUMN(INDIRECT("tblData[[Given name]]"))-1,0),"")</f>
        <v/>
      </c>
      <c r="D12" s="244" t="str">
        <f ca="1">IFERROR(VLOOKUP('Data Entry Form'!$BW17,tblSortedNameData,COLUMN(INDIRECT("tblData[[Position]]"))-1,0),"")</f>
        <v/>
      </c>
      <c r="E12" s="245" t="str">
        <f ca="1">IFERROR(VLOOKUP('Data Entry Form'!$BW17,tblSortedNameData,COLUMN(INDIRECT("tblData[[Date of birth]]"))-1,0),"")</f>
        <v/>
      </c>
      <c r="F12" s="244" t="str">
        <f ca="1">IFERROR(VLOOKUP('Data Entry Form'!$BW17,tblSortedNameData,COLUMN(INDIRECT("tblData[[Place of Birth]]"))-1,0),"")</f>
        <v/>
      </c>
      <c r="G12" s="244" t="str">
        <f ca="1">IFERROR(VLOOKUP('Data Entry Form'!$BW17,tblSortedNameData,COLUMN(INDIRECT("tblData[[Nationality]]"))-1,0),"")</f>
        <v/>
      </c>
      <c r="H12" s="244" t="str">
        <f ca="1">IFERROR(VLOOKUP('Data Entry Form'!$BW17,tblSortedNameData,COLUMN(INDIRECT("tblData[[Passport Number]]"))-1,0),"")</f>
        <v/>
      </c>
      <c r="I12" s="245" t="str">
        <f ca="1">IFERROR(VLOOKUP('Data Entry Form'!$BW17,tblSortedNameData,COLUMN(INDIRECT("tblData[[Date of issue]]"))-1,0),"")</f>
        <v/>
      </c>
      <c r="J12" s="246" t="str">
        <f ca="1">IFERROR(VLOOKUP('Data Entry Form'!$BW17,tblSortedNameData,COLUMN(INDIRECT("tblData[[Date of expiry]]"))-1,0),"")</f>
        <v/>
      </c>
    </row>
    <row r="13" spans="1:12" s="112" customFormat="1" ht="15.95" customHeight="1">
      <c r="A13" s="243">
        <f t="shared" si="0"/>
        <v>5</v>
      </c>
      <c r="B13" s="244" t="str">
        <f ca="1">IFERROR(VLOOKUP('Data Entry Form'!$BW18,tblSortedNameData,COLUMN(INDIRECT("tblData[[Surname]]"))-1,0),"")</f>
        <v/>
      </c>
      <c r="C13" s="244" t="str">
        <f ca="1">IFERROR(VLOOKUP('Data Entry Form'!$BW18,tblSortedNameData,COLUMN(INDIRECT("tblData[[Given name]]"))-1,0),"")</f>
        <v/>
      </c>
      <c r="D13" s="244" t="str">
        <f ca="1">IFERROR(VLOOKUP('Data Entry Form'!$BW18,tblSortedNameData,COLUMN(INDIRECT("tblData[[Position]]"))-1,0),"")</f>
        <v/>
      </c>
      <c r="E13" s="245" t="str">
        <f ca="1">IFERROR(VLOOKUP('Data Entry Form'!$BW18,tblSortedNameData,COLUMN(INDIRECT("tblData[[Date of birth]]"))-1,0),"")</f>
        <v/>
      </c>
      <c r="F13" s="244" t="str">
        <f ca="1">IFERROR(VLOOKUP('Data Entry Form'!$BW18,tblSortedNameData,COLUMN(INDIRECT("tblData[[Place of Birth]]"))-1,0),"")</f>
        <v/>
      </c>
      <c r="G13" s="244" t="str">
        <f ca="1">IFERROR(VLOOKUP('Data Entry Form'!$BW18,tblSortedNameData,COLUMN(INDIRECT("tblData[[Nationality]]"))-1,0),"")</f>
        <v/>
      </c>
      <c r="H13" s="244" t="str">
        <f ca="1">IFERROR(VLOOKUP('Data Entry Form'!$BW18,tblSortedNameData,COLUMN(INDIRECT("tblData[[Passport Number]]"))-1,0),"")</f>
        <v/>
      </c>
      <c r="I13" s="245" t="str">
        <f ca="1">IFERROR(VLOOKUP('Data Entry Form'!$BW18,tblSortedNameData,COLUMN(INDIRECT("tblData[[Date of issue]]"))-1,0),"")</f>
        <v/>
      </c>
      <c r="J13" s="246" t="str">
        <f ca="1">IFERROR(VLOOKUP('Data Entry Form'!$BW18,tblSortedNameData,COLUMN(INDIRECT("tblData[[Date of expiry]]"))-1,0),"")</f>
        <v/>
      </c>
    </row>
    <row r="14" spans="1:12" s="112" customFormat="1" ht="15.95" customHeight="1">
      <c r="A14" s="243">
        <f t="shared" si="0"/>
        <v>6</v>
      </c>
      <c r="B14" s="244" t="str">
        <f ca="1">IFERROR(VLOOKUP('Data Entry Form'!$BW19,tblSortedNameData,COLUMN(INDIRECT("tblData[[Surname]]"))-1,0),"")</f>
        <v/>
      </c>
      <c r="C14" s="244" t="str">
        <f ca="1">IFERROR(VLOOKUP('Data Entry Form'!$BW19,tblSortedNameData,COLUMN(INDIRECT("tblData[[Given name]]"))-1,0),"")</f>
        <v/>
      </c>
      <c r="D14" s="244" t="str">
        <f ca="1">IFERROR(VLOOKUP('Data Entry Form'!$BW19,tblSortedNameData,COLUMN(INDIRECT("tblData[[Position]]"))-1,0),"")</f>
        <v/>
      </c>
      <c r="E14" s="245" t="str">
        <f ca="1">IFERROR(VLOOKUP('Data Entry Form'!$BW19,tblSortedNameData,COLUMN(INDIRECT("tblData[[Date of birth]]"))-1,0),"")</f>
        <v/>
      </c>
      <c r="F14" s="244" t="str">
        <f ca="1">IFERROR(VLOOKUP('Data Entry Form'!$BW19,tblSortedNameData,COLUMN(INDIRECT("tblData[[Place of Birth]]"))-1,0),"")</f>
        <v/>
      </c>
      <c r="G14" s="244" t="str">
        <f ca="1">IFERROR(VLOOKUP('Data Entry Form'!$BW19,tblSortedNameData,COLUMN(INDIRECT("tblData[[Nationality]]"))-1,0),"")</f>
        <v/>
      </c>
      <c r="H14" s="244" t="str">
        <f ca="1">IFERROR(VLOOKUP('Data Entry Form'!$BW19,tblSortedNameData,COLUMN(INDIRECT("tblData[[Passport Number]]"))-1,0),"")</f>
        <v/>
      </c>
      <c r="I14" s="245" t="str">
        <f ca="1">IFERROR(VLOOKUP('Data Entry Form'!$BW19,tblSortedNameData,COLUMN(INDIRECT("tblData[[Date of issue]]"))-1,0),"")</f>
        <v/>
      </c>
      <c r="J14" s="246" t="str">
        <f ca="1">IFERROR(VLOOKUP('Data Entry Form'!$BW19,tblSortedNameData,COLUMN(INDIRECT("tblData[[Date of expiry]]"))-1,0),"")</f>
        <v/>
      </c>
    </row>
    <row r="15" spans="1:12" s="112" customFormat="1" ht="15.95" customHeight="1">
      <c r="A15" s="243">
        <f t="shared" si="0"/>
        <v>7</v>
      </c>
      <c r="B15" s="244" t="str">
        <f ca="1">IFERROR(VLOOKUP('Data Entry Form'!$BW20,tblSortedNameData,COLUMN(INDIRECT("tblData[[Surname]]"))-1,0),"")</f>
        <v/>
      </c>
      <c r="C15" s="244" t="str">
        <f ca="1">IFERROR(VLOOKUP('Data Entry Form'!$BW20,tblSortedNameData,COLUMN(INDIRECT("tblData[[Given name]]"))-1,0),"")</f>
        <v/>
      </c>
      <c r="D15" s="244" t="str">
        <f ca="1">IFERROR(VLOOKUP('Data Entry Form'!$BW20,tblSortedNameData,COLUMN(INDIRECT("tblData[[Position]]"))-1,0),"")</f>
        <v/>
      </c>
      <c r="E15" s="245" t="str">
        <f ca="1">IFERROR(VLOOKUP('Data Entry Form'!$BW20,tblSortedNameData,COLUMN(INDIRECT("tblData[[Date of birth]]"))-1,0),"")</f>
        <v/>
      </c>
      <c r="F15" s="244" t="str">
        <f ca="1">IFERROR(VLOOKUP('Data Entry Form'!$BW20,tblSortedNameData,COLUMN(INDIRECT("tblData[[Place of Birth]]"))-1,0),"")</f>
        <v/>
      </c>
      <c r="G15" s="244" t="str">
        <f ca="1">IFERROR(VLOOKUP('Data Entry Form'!$BW20,tblSortedNameData,COLUMN(INDIRECT("tblData[[Nationality]]"))-1,0),"")</f>
        <v/>
      </c>
      <c r="H15" s="244" t="str">
        <f ca="1">IFERROR(VLOOKUP('Data Entry Form'!$BW20,tblSortedNameData,COLUMN(INDIRECT("tblData[[Passport Number]]"))-1,0),"")</f>
        <v/>
      </c>
      <c r="I15" s="245" t="str">
        <f ca="1">IFERROR(VLOOKUP('Data Entry Form'!$BW20,tblSortedNameData,COLUMN(INDIRECT("tblData[[Date of issue]]"))-1,0),"")</f>
        <v/>
      </c>
      <c r="J15" s="246" t="str">
        <f ca="1">IFERROR(VLOOKUP('Data Entry Form'!$BW20,tblSortedNameData,COLUMN(INDIRECT("tblData[[Date of expiry]]"))-1,0),"")</f>
        <v/>
      </c>
    </row>
    <row r="16" spans="1:12" s="112" customFormat="1" ht="15.95" customHeight="1">
      <c r="A16" s="243">
        <f t="shared" si="0"/>
        <v>8</v>
      </c>
      <c r="B16" s="244" t="str">
        <f ca="1">IFERROR(VLOOKUP('Data Entry Form'!$BW21,tblSortedNameData,COLUMN(INDIRECT("tblData[[Surname]]"))-1,0),"")</f>
        <v/>
      </c>
      <c r="C16" s="244" t="str">
        <f ca="1">IFERROR(VLOOKUP('Data Entry Form'!$BW21,tblSortedNameData,COLUMN(INDIRECT("tblData[[Given name]]"))-1,0),"")</f>
        <v/>
      </c>
      <c r="D16" s="244" t="str">
        <f ca="1">IFERROR(VLOOKUP('Data Entry Form'!$BW21,tblSortedNameData,COLUMN(INDIRECT("tblData[[Position]]"))-1,0),"")</f>
        <v/>
      </c>
      <c r="E16" s="245" t="str">
        <f ca="1">IFERROR(VLOOKUP('Data Entry Form'!$BW21,tblSortedNameData,COLUMN(INDIRECT("tblData[[Date of birth]]"))-1,0),"")</f>
        <v/>
      </c>
      <c r="F16" s="244" t="str">
        <f ca="1">IFERROR(VLOOKUP('Data Entry Form'!$BW21,tblSortedNameData,COLUMN(INDIRECT("tblData[[Place of Birth]]"))-1,0),"")</f>
        <v/>
      </c>
      <c r="G16" s="244" t="str">
        <f ca="1">IFERROR(VLOOKUP('Data Entry Form'!$BW21,tblSortedNameData,COLUMN(INDIRECT("tblData[[Nationality]]"))-1,0),"")</f>
        <v/>
      </c>
      <c r="H16" s="244" t="str">
        <f ca="1">IFERROR(VLOOKUP('Data Entry Form'!$BW21,tblSortedNameData,COLUMN(INDIRECT("tblData[[Passport Number]]"))-1,0),"")</f>
        <v/>
      </c>
      <c r="I16" s="245" t="str">
        <f ca="1">IFERROR(VLOOKUP('Data Entry Form'!$BW21,tblSortedNameData,COLUMN(INDIRECT("tblData[[Date of issue]]"))-1,0),"")</f>
        <v/>
      </c>
      <c r="J16" s="246" t="str">
        <f ca="1">IFERROR(VLOOKUP('Data Entry Form'!$BW21,tblSortedNameData,COLUMN(INDIRECT("tblData[[Date of expiry]]"))-1,0),"")</f>
        <v/>
      </c>
    </row>
    <row r="17" spans="1:10" s="112" customFormat="1" ht="15.95" customHeight="1">
      <c r="A17" s="243">
        <f t="shared" si="0"/>
        <v>9</v>
      </c>
      <c r="B17" s="244" t="str">
        <f ca="1">IFERROR(VLOOKUP('Data Entry Form'!$BW22,tblSortedNameData,COLUMN(INDIRECT("tblData[[Surname]]"))-1,0),"")</f>
        <v/>
      </c>
      <c r="C17" s="244" t="str">
        <f ca="1">IFERROR(VLOOKUP('Data Entry Form'!$BW22,tblSortedNameData,COLUMN(INDIRECT("tblData[[Given name]]"))-1,0),"")</f>
        <v/>
      </c>
      <c r="D17" s="244" t="str">
        <f ca="1">IFERROR(VLOOKUP('Data Entry Form'!$BW22,tblSortedNameData,COLUMN(INDIRECT("tblData[[Position]]"))-1,0),"")</f>
        <v/>
      </c>
      <c r="E17" s="245" t="str">
        <f ca="1">IFERROR(VLOOKUP('Data Entry Form'!$BW22,tblSortedNameData,COLUMN(INDIRECT("tblData[[Date of birth]]"))-1,0),"")</f>
        <v/>
      </c>
      <c r="F17" s="244" t="str">
        <f ca="1">IFERROR(VLOOKUP('Data Entry Form'!$BW22,tblSortedNameData,COLUMN(INDIRECT("tblData[[Place of Birth]]"))-1,0),"")</f>
        <v/>
      </c>
      <c r="G17" s="244" t="str">
        <f ca="1">IFERROR(VLOOKUP('Data Entry Form'!$BW22,tblSortedNameData,COLUMN(INDIRECT("tblData[[Nationality]]"))-1,0),"")</f>
        <v/>
      </c>
      <c r="H17" s="244" t="str">
        <f ca="1">IFERROR(VLOOKUP('Data Entry Form'!$BW22,tblSortedNameData,COLUMN(INDIRECT("tblData[[Passport Number]]"))-1,0),"")</f>
        <v/>
      </c>
      <c r="I17" s="245" t="str">
        <f ca="1">IFERROR(VLOOKUP('Data Entry Form'!$BW22,tblSortedNameData,COLUMN(INDIRECT("tblData[[Date of issue]]"))-1,0),"")</f>
        <v/>
      </c>
      <c r="J17" s="246" t="str">
        <f ca="1">IFERROR(VLOOKUP('Data Entry Form'!$BW22,tblSortedNameData,COLUMN(INDIRECT("tblData[[Date of expiry]]"))-1,0),"")</f>
        <v/>
      </c>
    </row>
    <row r="18" spans="1:10" s="112" customFormat="1" ht="15.95" customHeight="1">
      <c r="A18" s="243">
        <f t="shared" si="0"/>
        <v>10</v>
      </c>
      <c r="B18" s="244" t="str">
        <f ca="1">IFERROR(VLOOKUP('Data Entry Form'!$BW23,tblSortedNameData,COLUMN(INDIRECT("tblData[[Surname]]"))-1,0),"")</f>
        <v/>
      </c>
      <c r="C18" s="244" t="str">
        <f ca="1">IFERROR(VLOOKUP('Data Entry Form'!$BW23,tblSortedNameData,COLUMN(INDIRECT("tblData[[Given name]]"))-1,0),"")</f>
        <v/>
      </c>
      <c r="D18" s="244" t="str">
        <f ca="1">IFERROR(VLOOKUP('Data Entry Form'!$BW23,tblSortedNameData,COLUMN(INDIRECT("tblData[[Position]]"))-1,0),"")</f>
        <v/>
      </c>
      <c r="E18" s="245" t="str">
        <f ca="1">IFERROR(VLOOKUP('Data Entry Form'!$BW23,tblSortedNameData,COLUMN(INDIRECT("tblData[[Date of birth]]"))-1,0),"")</f>
        <v/>
      </c>
      <c r="F18" s="244" t="str">
        <f ca="1">IFERROR(VLOOKUP('Data Entry Form'!$BW23,tblSortedNameData,COLUMN(INDIRECT("tblData[[Place of Birth]]"))-1,0),"")</f>
        <v/>
      </c>
      <c r="G18" s="244" t="str">
        <f ca="1">IFERROR(VLOOKUP('Data Entry Form'!$BW23,tblSortedNameData,COLUMN(INDIRECT("tblData[[Nationality]]"))-1,0),"")</f>
        <v/>
      </c>
      <c r="H18" s="244" t="str">
        <f ca="1">IFERROR(VLOOKUP('Data Entry Form'!$BW23,tblSortedNameData,COLUMN(INDIRECT("tblData[[Passport Number]]"))-1,0),"")</f>
        <v/>
      </c>
      <c r="I18" s="245" t="str">
        <f ca="1">IFERROR(VLOOKUP('Data Entry Form'!$BW23,tblSortedNameData,COLUMN(INDIRECT("tblData[[Date of issue]]"))-1,0),"")</f>
        <v/>
      </c>
      <c r="J18" s="246" t="str">
        <f ca="1">IFERROR(VLOOKUP('Data Entry Form'!$BW23,tblSortedNameData,COLUMN(INDIRECT("tblData[[Date of expiry]]"))-1,0),"")</f>
        <v/>
      </c>
    </row>
    <row r="19" spans="1:10" s="112" customFormat="1" ht="15.95" customHeight="1">
      <c r="A19" s="243">
        <f t="shared" si="0"/>
        <v>11</v>
      </c>
      <c r="B19" s="244" t="str">
        <f ca="1">IFERROR(VLOOKUP('Data Entry Form'!$BW24,tblSortedNameData,COLUMN(INDIRECT("tblData[[Surname]]"))-1,0),"")</f>
        <v/>
      </c>
      <c r="C19" s="244" t="str">
        <f ca="1">IFERROR(VLOOKUP('Data Entry Form'!$BW24,tblSortedNameData,COLUMN(INDIRECT("tblData[[Given name]]"))-1,0),"")</f>
        <v/>
      </c>
      <c r="D19" s="244" t="str">
        <f ca="1">IFERROR(VLOOKUP('Data Entry Form'!$BW24,tblSortedNameData,COLUMN(INDIRECT("tblData[[Position]]"))-1,0),"")</f>
        <v/>
      </c>
      <c r="E19" s="245" t="str">
        <f ca="1">IFERROR(VLOOKUP('Data Entry Form'!$BW24,tblSortedNameData,COLUMN(INDIRECT("tblData[[Date of birth]]"))-1,0),"")</f>
        <v/>
      </c>
      <c r="F19" s="244" t="str">
        <f ca="1">IFERROR(VLOOKUP('Data Entry Form'!$BW24,tblSortedNameData,COLUMN(INDIRECT("tblData[[Place of Birth]]"))-1,0),"")</f>
        <v/>
      </c>
      <c r="G19" s="244" t="str">
        <f ca="1">IFERROR(VLOOKUP('Data Entry Form'!$BW24,tblSortedNameData,COLUMN(INDIRECT("tblData[[Nationality]]"))-1,0),"")</f>
        <v/>
      </c>
      <c r="H19" s="244" t="str">
        <f ca="1">IFERROR(VLOOKUP('Data Entry Form'!$BW24,tblSortedNameData,COLUMN(INDIRECT("tblData[[Passport Number]]"))-1,0),"")</f>
        <v/>
      </c>
      <c r="I19" s="245" t="str">
        <f ca="1">IFERROR(VLOOKUP('Data Entry Form'!$BW24,tblSortedNameData,COLUMN(INDIRECT("tblData[[Date of issue]]"))-1,0),"")</f>
        <v/>
      </c>
      <c r="J19" s="246" t="str">
        <f ca="1">IFERROR(VLOOKUP('Data Entry Form'!$BW24,tblSortedNameData,COLUMN(INDIRECT("tblData[[Date of expiry]]"))-1,0),"")</f>
        <v/>
      </c>
    </row>
    <row r="20" spans="1:10" s="112" customFormat="1" ht="15.95" customHeight="1">
      <c r="A20" s="243">
        <f t="shared" si="0"/>
        <v>12</v>
      </c>
      <c r="B20" s="244" t="str">
        <f ca="1">IFERROR(VLOOKUP('Data Entry Form'!$BW25,tblSortedNameData,COLUMN(INDIRECT("tblData[[Surname]]"))-1,0),"")</f>
        <v/>
      </c>
      <c r="C20" s="244" t="str">
        <f ca="1">IFERROR(VLOOKUP('Data Entry Form'!$BW25,tblSortedNameData,COLUMN(INDIRECT("tblData[[Given name]]"))-1,0),"")</f>
        <v/>
      </c>
      <c r="D20" s="244" t="str">
        <f ca="1">IFERROR(VLOOKUP('Data Entry Form'!$BW25,tblSortedNameData,COLUMN(INDIRECT("tblData[[Position]]"))-1,0),"")</f>
        <v/>
      </c>
      <c r="E20" s="245" t="str">
        <f ca="1">IFERROR(VLOOKUP('Data Entry Form'!$BW25,tblSortedNameData,COLUMN(INDIRECT("tblData[[Date of birth]]"))-1,0),"")</f>
        <v/>
      </c>
      <c r="F20" s="244" t="str">
        <f ca="1">IFERROR(VLOOKUP('Data Entry Form'!$BW25,tblSortedNameData,COLUMN(INDIRECT("tblData[[Place of Birth]]"))-1,0),"")</f>
        <v/>
      </c>
      <c r="G20" s="244" t="str">
        <f ca="1">IFERROR(VLOOKUP('Data Entry Form'!$BW25,tblSortedNameData,COLUMN(INDIRECT("tblData[[Nationality]]"))-1,0),"")</f>
        <v/>
      </c>
      <c r="H20" s="244" t="str">
        <f ca="1">IFERROR(VLOOKUP('Data Entry Form'!$BW25,tblSortedNameData,COLUMN(INDIRECT("tblData[[Passport Number]]"))-1,0),"")</f>
        <v/>
      </c>
      <c r="I20" s="245" t="str">
        <f ca="1">IFERROR(VLOOKUP('Data Entry Form'!$BW25,tblSortedNameData,COLUMN(INDIRECT("tblData[[Date of issue]]"))-1,0),"")</f>
        <v/>
      </c>
      <c r="J20" s="246" t="str">
        <f ca="1">IFERROR(VLOOKUP('Data Entry Form'!$BW25,tblSortedNameData,COLUMN(INDIRECT("tblData[[Date of expiry]]"))-1,0),"")</f>
        <v/>
      </c>
    </row>
    <row r="21" spans="1:10" s="112" customFormat="1" ht="15.95" customHeight="1">
      <c r="A21" s="243">
        <f t="shared" si="0"/>
        <v>13</v>
      </c>
      <c r="B21" s="244" t="str">
        <f ca="1">IFERROR(VLOOKUP('Data Entry Form'!$BW26,tblSortedNameData,COLUMN(INDIRECT("tblData[[Surname]]"))-1,0),"")</f>
        <v/>
      </c>
      <c r="C21" s="244" t="str">
        <f ca="1">IFERROR(VLOOKUP('Data Entry Form'!$BW26,tblSortedNameData,COLUMN(INDIRECT("tblData[[Given name]]"))-1,0),"")</f>
        <v/>
      </c>
      <c r="D21" s="244" t="str">
        <f ca="1">IFERROR(VLOOKUP('Data Entry Form'!$BW26,tblSortedNameData,COLUMN(INDIRECT("tblData[[Position]]"))-1,0),"")</f>
        <v/>
      </c>
      <c r="E21" s="245" t="str">
        <f ca="1">IFERROR(VLOOKUP('Data Entry Form'!$BW26,tblSortedNameData,COLUMN(INDIRECT("tblData[[Date of birth]]"))-1,0),"")</f>
        <v/>
      </c>
      <c r="F21" s="244" t="str">
        <f ca="1">IFERROR(VLOOKUP('Data Entry Form'!$BW26,tblSortedNameData,COLUMN(INDIRECT("tblData[[Place of Birth]]"))-1,0),"")</f>
        <v/>
      </c>
      <c r="G21" s="244" t="str">
        <f ca="1">IFERROR(VLOOKUP('Data Entry Form'!$BW26,tblSortedNameData,COLUMN(INDIRECT("tblData[[Nationality]]"))-1,0),"")</f>
        <v/>
      </c>
      <c r="H21" s="244" t="str">
        <f ca="1">IFERROR(VLOOKUP('Data Entry Form'!$BW26,tblSortedNameData,COLUMN(INDIRECT("tblData[[Passport Number]]"))-1,0),"")</f>
        <v/>
      </c>
      <c r="I21" s="245" t="str">
        <f ca="1">IFERROR(VLOOKUP('Data Entry Form'!$BW26,tblSortedNameData,COLUMN(INDIRECT("tblData[[Date of issue]]"))-1,0),"")</f>
        <v/>
      </c>
      <c r="J21" s="246" t="str">
        <f ca="1">IFERROR(VLOOKUP('Data Entry Form'!$BW26,tblSortedNameData,COLUMN(INDIRECT("tblData[[Date of expiry]]"))-1,0),"")</f>
        <v/>
      </c>
    </row>
    <row r="22" spans="1:10" s="112" customFormat="1" ht="15.95" customHeight="1">
      <c r="A22" s="243">
        <f t="shared" si="0"/>
        <v>14</v>
      </c>
      <c r="B22" s="244" t="str">
        <f ca="1">IFERROR(VLOOKUP('Data Entry Form'!$BW27,tblSortedNameData,COLUMN(INDIRECT("tblData[[Surname]]"))-1,0),"")</f>
        <v/>
      </c>
      <c r="C22" s="244" t="str">
        <f ca="1">IFERROR(VLOOKUP('Data Entry Form'!$BW27,tblSortedNameData,COLUMN(INDIRECT("tblData[[Given name]]"))-1,0),"")</f>
        <v/>
      </c>
      <c r="D22" s="244" t="str">
        <f ca="1">IFERROR(VLOOKUP('Data Entry Form'!$BW27,tblSortedNameData,COLUMN(INDIRECT("tblData[[Position]]"))-1,0),"")</f>
        <v/>
      </c>
      <c r="E22" s="245" t="str">
        <f ca="1">IFERROR(VLOOKUP('Data Entry Form'!$BW27,tblSortedNameData,COLUMN(INDIRECT("tblData[[Date of birth]]"))-1,0),"")</f>
        <v/>
      </c>
      <c r="F22" s="244" t="str">
        <f ca="1">IFERROR(VLOOKUP('Data Entry Form'!$BW27,tblSortedNameData,COLUMN(INDIRECT("tblData[[Place of Birth]]"))-1,0),"")</f>
        <v/>
      </c>
      <c r="G22" s="244" t="str">
        <f ca="1">IFERROR(VLOOKUP('Data Entry Form'!$BW27,tblSortedNameData,COLUMN(INDIRECT("tblData[[Nationality]]"))-1,0),"")</f>
        <v/>
      </c>
      <c r="H22" s="244" t="str">
        <f ca="1">IFERROR(VLOOKUP('Data Entry Form'!$BW27,tblSortedNameData,COLUMN(INDIRECT("tblData[[Passport Number]]"))-1,0),"")</f>
        <v/>
      </c>
      <c r="I22" s="245" t="str">
        <f ca="1">IFERROR(VLOOKUP('Data Entry Form'!$BW27,tblSortedNameData,COLUMN(INDIRECT("tblData[[Date of issue]]"))-1,0),"")</f>
        <v/>
      </c>
      <c r="J22" s="246" t="str">
        <f ca="1">IFERROR(VLOOKUP('Data Entry Form'!$BW27,tblSortedNameData,COLUMN(INDIRECT("tblData[[Date of expiry]]"))-1,0),"")</f>
        <v/>
      </c>
    </row>
    <row r="23" spans="1:10" s="112" customFormat="1" ht="15.95" customHeight="1">
      <c r="A23" s="243">
        <f t="shared" si="0"/>
        <v>15</v>
      </c>
      <c r="B23" s="244" t="str">
        <f ca="1">IFERROR(VLOOKUP('Data Entry Form'!$BW28,tblSortedNameData,COLUMN(INDIRECT("tblData[[Surname]]"))-1,0),"")</f>
        <v/>
      </c>
      <c r="C23" s="244" t="str">
        <f ca="1">IFERROR(VLOOKUP('Data Entry Form'!$BW28,tblSortedNameData,COLUMN(INDIRECT("tblData[[Given name]]"))-1,0),"")</f>
        <v/>
      </c>
      <c r="D23" s="244" t="str">
        <f ca="1">IFERROR(VLOOKUP('Data Entry Form'!$BW28,tblSortedNameData,COLUMN(INDIRECT("tblData[[Position]]"))-1,0),"")</f>
        <v/>
      </c>
      <c r="E23" s="245" t="str">
        <f ca="1">IFERROR(VLOOKUP('Data Entry Form'!$BW28,tblSortedNameData,COLUMN(INDIRECT("tblData[[Date of birth]]"))-1,0),"")</f>
        <v/>
      </c>
      <c r="F23" s="244" t="str">
        <f ca="1">IFERROR(VLOOKUP('Data Entry Form'!$BW28,tblSortedNameData,COLUMN(INDIRECT("tblData[[Place of Birth]]"))-1,0),"")</f>
        <v/>
      </c>
      <c r="G23" s="244" t="str">
        <f ca="1">IFERROR(VLOOKUP('Data Entry Form'!$BW28,tblSortedNameData,COLUMN(INDIRECT("tblData[[Nationality]]"))-1,0),"")</f>
        <v/>
      </c>
      <c r="H23" s="244" t="str">
        <f ca="1">IFERROR(VLOOKUP('Data Entry Form'!$BW28,tblSortedNameData,COLUMN(INDIRECT("tblData[[Passport Number]]"))-1,0),"")</f>
        <v/>
      </c>
      <c r="I23" s="245" t="str">
        <f ca="1">IFERROR(VLOOKUP('Data Entry Form'!$BW28,tblSortedNameData,COLUMN(INDIRECT("tblData[[Date of issue]]"))-1,0),"")</f>
        <v/>
      </c>
      <c r="J23" s="246" t="str">
        <f ca="1">IFERROR(VLOOKUP('Data Entry Form'!$BW28,tblSortedNameData,COLUMN(INDIRECT("tblData[[Date of expiry]]"))-1,0),"")</f>
        <v/>
      </c>
    </row>
    <row r="24" spans="1:10" s="112" customFormat="1" ht="15.95" customHeight="1">
      <c r="A24" s="243">
        <f t="shared" si="0"/>
        <v>16</v>
      </c>
      <c r="B24" s="244" t="str">
        <f ca="1">IFERROR(VLOOKUP('Data Entry Form'!$BW29,tblSortedNameData,COLUMN(INDIRECT("tblData[[Surname]]"))-1,0),"")</f>
        <v/>
      </c>
      <c r="C24" s="244" t="str">
        <f ca="1">IFERROR(VLOOKUP('Data Entry Form'!$BW29,tblSortedNameData,COLUMN(INDIRECT("tblData[[Given name]]"))-1,0),"")</f>
        <v/>
      </c>
      <c r="D24" s="244" t="str">
        <f ca="1">IFERROR(VLOOKUP('Data Entry Form'!$BW29,tblSortedNameData,COLUMN(INDIRECT("tblData[[Position]]"))-1,0),"")</f>
        <v/>
      </c>
      <c r="E24" s="245" t="str">
        <f ca="1">IFERROR(VLOOKUP('Data Entry Form'!$BW29,tblSortedNameData,COLUMN(INDIRECT("tblData[[Date of birth]]"))-1,0),"")</f>
        <v/>
      </c>
      <c r="F24" s="244" t="str">
        <f ca="1">IFERROR(VLOOKUP('Data Entry Form'!$BW29,tblSortedNameData,COLUMN(INDIRECT("tblData[[Place of Birth]]"))-1,0),"")</f>
        <v/>
      </c>
      <c r="G24" s="244" t="str">
        <f ca="1">IFERROR(VLOOKUP('Data Entry Form'!$BW29,tblSortedNameData,COLUMN(INDIRECT("tblData[[Nationality]]"))-1,0),"")</f>
        <v/>
      </c>
      <c r="H24" s="244" t="str">
        <f ca="1">IFERROR(VLOOKUP('Data Entry Form'!$BW29,tblSortedNameData,COLUMN(INDIRECT("tblData[[Passport Number]]"))-1,0),"")</f>
        <v/>
      </c>
      <c r="I24" s="245" t="str">
        <f ca="1">IFERROR(VLOOKUP('Data Entry Form'!$BW29,tblSortedNameData,COLUMN(INDIRECT("tblData[[Date of issue]]"))-1,0),"")</f>
        <v/>
      </c>
      <c r="J24" s="246" t="str">
        <f ca="1">IFERROR(VLOOKUP('Data Entry Form'!$BW29,tblSortedNameData,COLUMN(INDIRECT("tblData[[Date of expiry]]"))-1,0),"")</f>
        <v/>
      </c>
    </row>
    <row r="25" spans="1:10" s="112" customFormat="1" ht="15.95" customHeight="1">
      <c r="A25" s="243">
        <f t="shared" si="0"/>
        <v>17</v>
      </c>
      <c r="B25" s="244" t="str">
        <f ca="1">IFERROR(VLOOKUP('Data Entry Form'!$BW30,tblSortedNameData,COLUMN(INDIRECT("tblData[[Surname]]"))-1,0),"")</f>
        <v/>
      </c>
      <c r="C25" s="244" t="str">
        <f ca="1">IFERROR(VLOOKUP('Data Entry Form'!$BW30,tblSortedNameData,COLUMN(INDIRECT("tblData[[Given name]]"))-1,0),"")</f>
        <v/>
      </c>
      <c r="D25" s="244" t="str">
        <f ca="1">IFERROR(VLOOKUP('Data Entry Form'!$BW30,tblSortedNameData,COLUMN(INDIRECT("tblData[[Position]]"))-1,0),"")</f>
        <v/>
      </c>
      <c r="E25" s="245" t="str">
        <f ca="1">IFERROR(VLOOKUP('Data Entry Form'!$BW30,tblSortedNameData,COLUMN(INDIRECT("tblData[[Date of birth]]"))-1,0),"")</f>
        <v/>
      </c>
      <c r="F25" s="244" t="str">
        <f ca="1">IFERROR(VLOOKUP('Data Entry Form'!$BW30,tblSortedNameData,COLUMN(INDIRECT("tblData[[Place of Birth]]"))-1,0),"")</f>
        <v/>
      </c>
      <c r="G25" s="244" t="str">
        <f ca="1">IFERROR(VLOOKUP('Data Entry Form'!$BW30,tblSortedNameData,COLUMN(INDIRECT("tblData[[Nationality]]"))-1,0),"")</f>
        <v/>
      </c>
      <c r="H25" s="244" t="str">
        <f ca="1">IFERROR(VLOOKUP('Data Entry Form'!$BW30,tblSortedNameData,COLUMN(INDIRECT("tblData[[Passport Number]]"))-1,0),"")</f>
        <v/>
      </c>
      <c r="I25" s="245" t="str">
        <f ca="1">IFERROR(VLOOKUP('Data Entry Form'!$BW30,tblSortedNameData,COLUMN(INDIRECT("tblData[[Date of issue]]"))-1,0),"")</f>
        <v/>
      </c>
      <c r="J25" s="246" t="str">
        <f ca="1">IFERROR(VLOOKUP('Data Entry Form'!$BW30,tblSortedNameData,COLUMN(INDIRECT("tblData[[Date of expiry]]"))-1,0),"")</f>
        <v/>
      </c>
    </row>
    <row r="26" spans="1:10" s="112" customFormat="1" ht="15.95" customHeight="1">
      <c r="A26" s="243">
        <f t="shared" si="0"/>
        <v>18</v>
      </c>
      <c r="B26" s="244" t="str">
        <f ca="1">IFERROR(VLOOKUP('Data Entry Form'!$BW31,tblSortedNameData,COLUMN(INDIRECT("tblData[[Surname]]"))-1,0),"")</f>
        <v/>
      </c>
      <c r="C26" s="244" t="str">
        <f ca="1">IFERROR(VLOOKUP('Data Entry Form'!$BW31,tblSortedNameData,COLUMN(INDIRECT("tblData[[Given name]]"))-1,0),"")</f>
        <v/>
      </c>
      <c r="D26" s="244" t="str">
        <f ca="1">IFERROR(VLOOKUP('Data Entry Form'!$BW31,tblSortedNameData,COLUMN(INDIRECT("tblData[[Position]]"))-1,0),"")</f>
        <v/>
      </c>
      <c r="E26" s="245" t="str">
        <f ca="1">IFERROR(VLOOKUP('Data Entry Form'!$BW31,tblSortedNameData,COLUMN(INDIRECT("tblData[[Date of birth]]"))-1,0),"")</f>
        <v/>
      </c>
      <c r="F26" s="244" t="str">
        <f ca="1">IFERROR(VLOOKUP('Data Entry Form'!$BW31,tblSortedNameData,COLUMN(INDIRECT("tblData[[Place of Birth]]"))-1,0),"")</f>
        <v/>
      </c>
      <c r="G26" s="244" t="str">
        <f ca="1">IFERROR(VLOOKUP('Data Entry Form'!$BW31,tblSortedNameData,COLUMN(INDIRECT("tblData[[Nationality]]"))-1,0),"")</f>
        <v/>
      </c>
      <c r="H26" s="244" t="str">
        <f ca="1">IFERROR(VLOOKUP('Data Entry Form'!$BW31,tblSortedNameData,COLUMN(INDIRECT("tblData[[Passport Number]]"))-1,0),"")</f>
        <v/>
      </c>
      <c r="I26" s="245" t="str">
        <f ca="1">IFERROR(VLOOKUP('Data Entry Form'!$BW31,tblSortedNameData,COLUMN(INDIRECT("tblData[[Date of issue]]"))-1,0),"")</f>
        <v/>
      </c>
      <c r="J26" s="246" t="str">
        <f ca="1">IFERROR(VLOOKUP('Data Entry Form'!$BW31,tblSortedNameData,COLUMN(INDIRECT("tblData[[Date of expiry]]"))-1,0),"")</f>
        <v/>
      </c>
    </row>
    <row r="27" spans="1:10" s="112" customFormat="1" ht="15.95" customHeight="1">
      <c r="A27" s="243">
        <f t="shared" si="0"/>
        <v>19</v>
      </c>
      <c r="B27" s="244" t="str">
        <f ca="1">IFERROR(VLOOKUP('Data Entry Form'!$BW32,tblSortedNameData,COLUMN(INDIRECT("tblData[[Surname]]"))-1,0),"")</f>
        <v/>
      </c>
      <c r="C27" s="244" t="str">
        <f ca="1">IFERROR(VLOOKUP('Data Entry Form'!$BW32,tblSortedNameData,COLUMN(INDIRECT("tblData[[Given name]]"))-1,0),"")</f>
        <v/>
      </c>
      <c r="D27" s="244" t="str">
        <f ca="1">IFERROR(VLOOKUP('Data Entry Form'!$BW32,tblSortedNameData,COLUMN(INDIRECT("tblData[[Position]]"))-1,0),"")</f>
        <v/>
      </c>
      <c r="E27" s="245" t="str">
        <f ca="1">IFERROR(VLOOKUP('Data Entry Form'!$BW32,tblSortedNameData,COLUMN(INDIRECT("tblData[[Date of birth]]"))-1,0),"")</f>
        <v/>
      </c>
      <c r="F27" s="244" t="str">
        <f ca="1">IFERROR(VLOOKUP('Data Entry Form'!$BW32,tblSortedNameData,COLUMN(INDIRECT("tblData[[Place of Birth]]"))-1,0),"")</f>
        <v/>
      </c>
      <c r="G27" s="244" t="str">
        <f ca="1">IFERROR(VLOOKUP('Data Entry Form'!$BW32,tblSortedNameData,COLUMN(INDIRECT("tblData[[Nationality]]"))-1,0),"")</f>
        <v/>
      </c>
      <c r="H27" s="244" t="str">
        <f ca="1">IFERROR(VLOOKUP('Data Entry Form'!$BW32,tblSortedNameData,COLUMN(INDIRECT("tblData[[Passport Number]]"))-1,0),"")</f>
        <v/>
      </c>
      <c r="I27" s="245" t="str">
        <f ca="1">IFERROR(VLOOKUP('Data Entry Form'!$BW32,tblSortedNameData,COLUMN(INDIRECT("tblData[[Date of issue]]"))-1,0),"")</f>
        <v/>
      </c>
      <c r="J27" s="246" t="str">
        <f ca="1">IFERROR(VLOOKUP('Data Entry Form'!$BW32,tblSortedNameData,COLUMN(INDIRECT("tblData[[Date of expiry]]"))-1,0),"")</f>
        <v/>
      </c>
    </row>
    <row r="28" spans="1:10" s="112" customFormat="1" ht="15.95" customHeight="1">
      <c r="A28" s="243">
        <f t="shared" si="0"/>
        <v>20</v>
      </c>
      <c r="B28" s="244" t="str">
        <f ca="1">IFERROR(VLOOKUP('Data Entry Form'!$BW33,tblSortedNameData,COLUMN(INDIRECT("tblData[[Surname]]"))-1,0),"")</f>
        <v/>
      </c>
      <c r="C28" s="244" t="str">
        <f ca="1">IFERROR(VLOOKUP('Data Entry Form'!$BW33,tblSortedNameData,COLUMN(INDIRECT("tblData[[Given name]]"))-1,0),"")</f>
        <v/>
      </c>
      <c r="D28" s="244" t="str">
        <f ca="1">IFERROR(VLOOKUP('Data Entry Form'!$BW33,tblSortedNameData,COLUMN(INDIRECT("tblData[[Position]]"))-1,0),"")</f>
        <v/>
      </c>
      <c r="E28" s="245" t="str">
        <f ca="1">IFERROR(VLOOKUP('Data Entry Form'!$BW33,tblSortedNameData,COLUMN(INDIRECT("tblData[[Date of birth]]"))-1,0),"")</f>
        <v/>
      </c>
      <c r="F28" s="244" t="str">
        <f ca="1">IFERROR(VLOOKUP('Data Entry Form'!$BW33,tblSortedNameData,COLUMN(INDIRECT("tblData[[Place of Birth]]"))-1,0),"")</f>
        <v/>
      </c>
      <c r="G28" s="244" t="str">
        <f ca="1">IFERROR(VLOOKUP('Data Entry Form'!$BW33,tblSortedNameData,COLUMN(INDIRECT("tblData[[Nationality]]"))-1,0),"")</f>
        <v/>
      </c>
      <c r="H28" s="244" t="str">
        <f ca="1">IFERROR(VLOOKUP('Data Entry Form'!$BW33,tblSortedNameData,COLUMN(INDIRECT("tblData[[Passport Number]]"))-1,0),"")</f>
        <v/>
      </c>
      <c r="I28" s="245" t="str">
        <f ca="1">IFERROR(VLOOKUP('Data Entry Form'!$BW33,tblSortedNameData,COLUMN(INDIRECT("tblData[[Date of issue]]"))-1,0),"")</f>
        <v/>
      </c>
      <c r="J28" s="246" t="str">
        <f ca="1">IFERROR(VLOOKUP('Data Entry Form'!$BW33,tblSortedNameData,COLUMN(INDIRECT("tblData[[Date of expiry]]"))-1,0),"")</f>
        <v/>
      </c>
    </row>
    <row r="29" spans="1:10" s="112" customFormat="1" ht="15.95" customHeight="1">
      <c r="A29" s="243">
        <f t="shared" si="0"/>
        <v>21</v>
      </c>
      <c r="B29" s="244" t="str">
        <f ca="1">IFERROR(VLOOKUP('Data Entry Form'!$BW34,tblSortedNameData,COLUMN(INDIRECT("tblData[[Surname]]"))-1,0),"")</f>
        <v/>
      </c>
      <c r="C29" s="244" t="str">
        <f ca="1">IFERROR(VLOOKUP('Data Entry Form'!$BW34,tblSortedNameData,COLUMN(INDIRECT("tblData[[Given name]]"))-1,0),"")</f>
        <v/>
      </c>
      <c r="D29" s="244" t="str">
        <f ca="1">IFERROR(VLOOKUP('Data Entry Form'!$BW34,tblSortedNameData,COLUMN(INDIRECT("tblData[[Position]]"))-1,0),"")</f>
        <v/>
      </c>
      <c r="E29" s="245" t="str">
        <f ca="1">IFERROR(VLOOKUP('Data Entry Form'!$BW34,tblSortedNameData,COLUMN(INDIRECT("tblData[[Date of birth]]"))-1,0),"")</f>
        <v/>
      </c>
      <c r="F29" s="244" t="str">
        <f ca="1">IFERROR(VLOOKUP('Data Entry Form'!$BW34,tblSortedNameData,COLUMN(INDIRECT("tblData[[Place of Birth]]"))-1,0),"")</f>
        <v/>
      </c>
      <c r="G29" s="244" t="str">
        <f ca="1">IFERROR(VLOOKUP('Data Entry Form'!$BW34,tblSortedNameData,COLUMN(INDIRECT("tblData[[Nationality]]"))-1,0),"")</f>
        <v/>
      </c>
      <c r="H29" s="244" t="str">
        <f ca="1">IFERROR(VLOOKUP('Data Entry Form'!$BW34,tblSortedNameData,COLUMN(INDIRECT("tblData[[Passport Number]]"))-1,0),"")</f>
        <v/>
      </c>
      <c r="I29" s="245" t="str">
        <f ca="1">IFERROR(VLOOKUP('Data Entry Form'!$BW34,tblSortedNameData,COLUMN(INDIRECT("tblData[[Date of issue]]"))-1,0),"")</f>
        <v/>
      </c>
      <c r="J29" s="246" t="str">
        <f ca="1">IFERROR(VLOOKUP('Data Entry Form'!$BW34,tblSortedNameData,COLUMN(INDIRECT("tblData[[Date of expiry]]"))-1,0),"")</f>
        <v/>
      </c>
    </row>
    <row r="30" spans="1:10" s="112" customFormat="1" ht="15.95" customHeight="1">
      <c r="A30" s="243">
        <f t="shared" si="0"/>
        <v>22</v>
      </c>
      <c r="B30" s="244" t="str">
        <f ca="1">IFERROR(VLOOKUP('Data Entry Form'!$BW35,tblSortedNameData,COLUMN(INDIRECT("tblData[[Surname]]"))-1,0),"")</f>
        <v/>
      </c>
      <c r="C30" s="244" t="str">
        <f ca="1">IFERROR(VLOOKUP('Data Entry Form'!$BW35,tblSortedNameData,COLUMN(INDIRECT("tblData[[Given name]]"))-1,0),"")</f>
        <v/>
      </c>
      <c r="D30" s="244" t="str">
        <f ca="1">IFERROR(VLOOKUP('Data Entry Form'!$BW35,tblSortedNameData,COLUMN(INDIRECT("tblData[[Position]]"))-1,0),"")</f>
        <v/>
      </c>
      <c r="E30" s="245" t="str">
        <f ca="1">IFERROR(VLOOKUP('Data Entry Form'!$BW35,tblSortedNameData,COLUMN(INDIRECT("tblData[[Date of birth]]"))-1,0),"")</f>
        <v/>
      </c>
      <c r="F30" s="244" t="str">
        <f ca="1">IFERROR(VLOOKUP('Data Entry Form'!$BW35,tblSortedNameData,COLUMN(INDIRECT("tblData[[Place of Birth]]"))-1,0),"")</f>
        <v/>
      </c>
      <c r="G30" s="244" t="str">
        <f ca="1">IFERROR(VLOOKUP('Data Entry Form'!$BW35,tblSortedNameData,COLUMN(INDIRECT("tblData[[Nationality]]"))-1,0),"")</f>
        <v/>
      </c>
      <c r="H30" s="244" t="str">
        <f ca="1">IFERROR(VLOOKUP('Data Entry Form'!$BW35,tblSortedNameData,COLUMN(INDIRECT("tblData[[Passport Number]]"))-1,0),"")</f>
        <v/>
      </c>
      <c r="I30" s="245" t="str">
        <f ca="1">IFERROR(VLOOKUP('Data Entry Form'!$BW35,tblSortedNameData,COLUMN(INDIRECT("tblData[[Date of issue]]"))-1,0),"")</f>
        <v/>
      </c>
      <c r="J30" s="246" t="str">
        <f ca="1">IFERROR(VLOOKUP('Data Entry Form'!$BW35,tblSortedNameData,COLUMN(INDIRECT("tblData[[Date of expiry]]"))-1,0),"")</f>
        <v/>
      </c>
    </row>
    <row r="31" spans="1:10" s="112" customFormat="1" ht="15.95" customHeight="1">
      <c r="A31" s="243">
        <f t="shared" si="0"/>
        <v>23</v>
      </c>
      <c r="B31" s="244" t="str">
        <f ca="1">IFERROR(VLOOKUP('Data Entry Form'!$BW36,tblSortedNameData,COLUMN(INDIRECT("tblData[[Surname]]"))-1,0),"")</f>
        <v/>
      </c>
      <c r="C31" s="244" t="str">
        <f ca="1">IFERROR(VLOOKUP('Data Entry Form'!$BW36,tblSortedNameData,COLUMN(INDIRECT("tblData[[Given name]]"))-1,0),"")</f>
        <v/>
      </c>
      <c r="D31" s="244" t="str">
        <f ca="1">IFERROR(VLOOKUP('Data Entry Form'!$BW36,tblSortedNameData,COLUMN(INDIRECT("tblData[[Position]]"))-1,0),"")</f>
        <v/>
      </c>
      <c r="E31" s="245" t="str">
        <f ca="1">IFERROR(VLOOKUP('Data Entry Form'!$BW36,tblSortedNameData,COLUMN(INDIRECT("tblData[[Date of birth]]"))-1,0),"")</f>
        <v/>
      </c>
      <c r="F31" s="244" t="str">
        <f ca="1">IFERROR(VLOOKUP('Data Entry Form'!$BW36,tblSortedNameData,COLUMN(INDIRECT("tblData[[Place of Birth]]"))-1,0),"")</f>
        <v/>
      </c>
      <c r="G31" s="244" t="str">
        <f ca="1">IFERROR(VLOOKUP('Data Entry Form'!$BW36,tblSortedNameData,COLUMN(INDIRECT("tblData[[Nationality]]"))-1,0),"")</f>
        <v/>
      </c>
      <c r="H31" s="244" t="str">
        <f ca="1">IFERROR(VLOOKUP('Data Entry Form'!$BW36,tblSortedNameData,COLUMN(INDIRECT("tblData[[Passport Number]]"))-1,0),"")</f>
        <v/>
      </c>
      <c r="I31" s="245" t="str">
        <f ca="1">IFERROR(VLOOKUP('Data Entry Form'!$BW36,tblSortedNameData,COLUMN(INDIRECT("tblData[[Date of issue]]"))-1,0),"")</f>
        <v/>
      </c>
      <c r="J31" s="246" t="str">
        <f ca="1">IFERROR(VLOOKUP('Data Entry Form'!$BW36,tblSortedNameData,COLUMN(INDIRECT("tblData[[Date of expiry]]"))-1,0),"")</f>
        <v/>
      </c>
    </row>
    <row r="32" spans="1:10" s="112" customFormat="1" ht="15.95" customHeight="1">
      <c r="A32" s="243">
        <f t="shared" si="0"/>
        <v>24</v>
      </c>
      <c r="B32" s="244" t="str">
        <f ca="1">IFERROR(VLOOKUP('Data Entry Form'!$BW37,tblSortedNameData,COLUMN(INDIRECT("tblData[[Surname]]"))-1,0),"")</f>
        <v/>
      </c>
      <c r="C32" s="244" t="str">
        <f ca="1">IFERROR(VLOOKUP('Data Entry Form'!$BW37,tblSortedNameData,COLUMN(INDIRECT("tblData[[Given name]]"))-1,0),"")</f>
        <v/>
      </c>
      <c r="D32" s="244" t="str">
        <f ca="1">IFERROR(VLOOKUP('Data Entry Form'!$BW37,tblSortedNameData,COLUMN(INDIRECT("tblData[[Position]]"))-1,0),"")</f>
        <v/>
      </c>
      <c r="E32" s="245" t="str">
        <f ca="1">IFERROR(VLOOKUP('Data Entry Form'!$BW37,tblSortedNameData,COLUMN(INDIRECT("tblData[[Date of birth]]"))-1,0),"")</f>
        <v/>
      </c>
      <c r="F32" s="244" t="str">
        <f ca="1">IFERROR(VLOOKUP('Data Entry Form'!$BW37,tblSortedNameData,COLUMN(INDIRECT("tblData[[Place of Birth]]"))-1,0),"")</f>
        <v/>
      </c>
      <c r="G32" s="244" t="str">
        <f ca="1">IFERROR(VLOOKUP('Data Entry Form'!$BW37,tblSortedNameData,COLUMN(INDIRECT("tblData[[Nationality]]"))-1,0),"")</f>
        <v/>
      </c>
      <c r="H32" s="244" t="str">
        <f ca="1">IFERROR(VLOOKUP('Data Entry Form'!$BW37,tblSortedNameData,COLUMN(INDIRECT("tblData[[Passport Number]]"))-1,0),"")</f>
        <v/>
      </c>
      <c r="I32" s="245" t="str">
        <f ca="1">IFERROR(VLOOKUP('Data Entry Form'!$BW37,tblSortedNameData,COLUMN(INDIRECT("tblData[[Date of issue]]"))-1,0),"")</f>
        <v/>
      </c>
      <c r="J32" s="246" t="str">
        <f ca="1">IFERROR(VLOOKUP('Data Entry Form'!$BW37,tblSortedNameData,COLUMN(INDIRECT("tblData[[Date of expiry]]"))-1,0),"")</f>
        <v/>
      </c>
    </row>
    <row r="33" spans="1:10" s="112" customFormat="1" ht="15.95" customHeight="1">
      <c r="A33" s="243">
        <f t="shared" si="0"/>
        <v>25</v>
      </c>
      <c r="B33" s="244" t="str">
        <f ca="1">IFERROR(VLOOKUP('Data Entry Form'!$BW38,tblSortedNameData,COLUMN(INDIRECT("tblData[[Surname]]"))-1,0),"")</f>
        <v/>
      </c>
      <c r="C33" s="244" t="str">
        <f ca="1">IFERROR(VLOOKUP('Data Entry Form'!$BW38,tblSortedNameData,COLUMN(INDIRECT("tblData[[Given name]]"))-1,0),"")</f>
        <v/>
      </c>
      <c r="D33" s="244" t="str">
        <f ca="1">IFERROR(VLOOKUP('Data Entry Form'!$BW38,tblSortedNameData,COLUMN(INDIRECT("tblData[[Position]]"))-1,0),"")</f>
        <v/>
      </c>
      <c r="E33" s="245" t="str">
        <f ca="1">IFERROR(VLOOKUP('Data Entry Form'!$BW38,tblSortedNameData,COLUMN(INDIRECT("tblData[[Date of birth]]"))-1,0),"")</f>
        <v/>
      </c>
      <c r="F33" s="244" t="str">
        <f ca="1">IFERROR(VLOOKUP('Data Entry Form'!$BW38,tblSortedNameData,COLUMN(INDIRECT("tblData[[Place of Birth]]"))-1,0),"")</f>
        <v/>
      </c>
      <c r="G33" s="244" t="str">
        <f ca="1">IFERROR(VLOOKUP('Data Entry Form'!$BW38,tblSortedNameData,COLUMN(INDIRECT("tblData[[Nationality]]"))-1,0),"")</f>
        <v/>
      </c>
      <c r="H33" s="244" t="str">
        <f ca="1">IFERROR(VLOOKUP('Data Entry Form'!$BW38,tblSortedNameData,COLUMN(INDIRECT("tblData[[Passport Number]]"))-1,0),"")</f>
        <v/>
      </c>
      <c r="I33" s="245" t="str">
        <f ca="1">IFERROR(VLOOKUP('Data Entry Form'!$BW38,tblSortedNameData,COLUMN(INDIRECT("tblData[[Date of issue]]"))-1,0),"")</f>
        <v/>
      </c>
      <c r="J33" s="246" t="str">
        <f ca="1">IFERROR(VLOOKUP('Data Entry Form'!$BW38,tblSortedNameData,COLUMN(INDIRECT("tblData[[Date of expiry]]"))-1,0),"")</f>
        <v/>
      </c>
    </row>
    <row r="34" spans="1:10" s="112" customFormat="1" ht="15.95" customHeight="1">
      <c r="A34" s="243">
        <f t="shared" si="0"/>
        <v>26</v>
      </c>
      <c r="B34" s="244" t="str">
        <f ca="1">IFERROR(VLOOKUP('Data Entry Form'!$BW39,tblSortedNameData,COLUMN(INDIRECT("tblData[[Surname]]"))-1,0),"")</f>
        <v/>
      </c>
      <c r="C34" s="244" t="str">
        <f ca="1">IFERROR(VLOOKUP('Data Entry Form'!$BW39,tblSortedNameData,COLUMN(INDIRECT("tblData[[Given name]]"))-1,0),"")</f>
        <v/>
      </c>
      <c r="D34" s="244" t="str">
        <f ca="1">IFERROR(VLOOKUP('Data Entry Form'!$BW39,tblSortedNameData,COLUMN(INDIRECT("tblData[[Position]]"))-1,0),"")</f>
        <v/>
      </c>
      <c r="E34" s="245" t="str">
        <f ca="1">IFERROR(VLOOKUP('Data Entry Form'!$BW39,tblSortedNameData,COLUMN(INDIRECT("tblData[[Date of birth]]"))-1,0),"")</f>
        <v/>
      </c>
      <c r="F34" s="244" t="str">
        <f ca="1">IFERROR(VLOOKUP('Data Entry Form'!$BW39,tblSortedNameData,COLUMN(INDIRECT("tblData[[Place of Birth]]"))-1,0),"")</f>
        <v/>
      </c>
      <c r="G34" s="244" t="str">
        <f ca="1">IFERROR(VLOOKUP('Data Entry Form'!$BW39,tblSortedNameData,COLUMN(INDIRECT("tblData[[Nationality]]"))-1,0),"")</f>
        <v/>
      </c>
      <c r="H34" s="244" t="str">
        <f ca="1">IFERROR(VLOOKUP('Data Entry Form'!$BW39,tblSortedNameData,COLUMN(INDIRECT("tblData[[Passport Number]]"))-1,0),"")</f>
        <v/>
      </c>
      <c r="I34" s="245" t="str">
        <f ca="1">IFERROR(VLOOKUP('Data Entry Form'!$BW39,tblSortedNameData,COLUMN(INDIRECT("tblData[[Date of issue]]"))-1,0),"")</f>
        <v/>
      </c>
      <c r="J34" s="246" t="str">
        <f ca="1">IFERROR(VLOOKUP('Data Entry Form'!$BW39,tblSortedNameData,COLUMN(INDIRECT("tblData[[Date of expiry]]"))-1,0),"")</f>
        <v/>
      </c>
    </row>
    <row r="35" spans="1:10" s="112" customFormat="1" ht="15.95" customHeight="1">
      <c r="A35" s="243">
        <f>A34+1</f>
        <v>27</v>
      </c>
      <c r="B35" s="244" t="str">
        <f ca="1">IFERROR(VLOOKUP('Data Entry Form'!$BW40,tblSortedNameData,COLUMN(INDIRECT("tblData[[Surname]]"))-1,0),"")</f>
        <v/>
      </c>
      <c r="C35" s="244" t="str">
        <f ca="1">IFERROR(VLOOKUP('Data Entry Form'!$BW40,tblSortedNameData,COLUMN(INDIRECT("tblData[[Given name]]"))-1,0),"")</f>
        <v/>
      </c>
      <c r="D35" s="244" t="str">
        <f ca="1">IFERROR(VLOOKUP('Data Entry Form'!$BW40,tblSortedNameData,COLUMN(INDIRECT("tblData[[Position]]"))-1,0),"")</f>
        <v/>
      </c>
      <c r="E35" s="245" t="str">
        <f ca="1">IFERROR(VLOOKUP('Data Entry Form'!$BW40,tblSortedNameData,COLUMN(INDIRECT("tblData[[Date of birth]]"))-1,0),"")</f>
        <v/>
      </c>
      <c r="F35" s="244" t="str">
        <f ca="1">IFERROR(VLOOKUP('Data Entry Form'!$BW40,tblSortedNameData,COLUMN(INDIRECT("tblData[[Place of Birth]]"))-1,0),"")</f>
        <v/>
      </c>
      <c r="G35" s="244" t="str">
        <f ca="1">IFERROR(VLOOKUP('Data Entry Form'!$BW40,tblSortedNameData,COLUMN(INDIRECT("tblData[[Nationality]]"))-1,0),"")</f>
        <v/>
      </c>
      <c r="H35" s="244" t="str">
        <f ca="1">IFERROR(VLOOKUP('Data Entry Form'!$BW40,tblSortedNameData,COLUMN(INDIRECT("tblData[[Passport Number]]"))-1,0),"")</f>
        <v/>
      </c>
      <c r="I35" s="245" t="str">
        <f ca="1">IFERROR(VLOOKUP('Data Entry Form'!$BW40,tblSortedNameData,COLUMN(INDIRECT("tblData[[Date of issue]]"))-1,0),"")</f>
        <v/>
      </c>
      <c r="J35" s="246" t="str">
        <f ca="1">IFERROR(VLOOKUP('Data Entry Form'!$BW40,tblSortedNameData,COLUMN(INDIRECT("tblData[[Date of expiry]]"))-1,0),"")</f>
        <v/>
      </c>
    </row>
    <row r="36" spans="1:10" s="112" customFormat="1" ht="15.95" customHeight="1">
      <c r="A36" s="243">
        <f t="shared" si="0"/>
        <v>28</v>
      </c>
      <c r="B36" s="244" t="str">
        <f ca="1">IFERROR(VLOOKUP('Data Entry Form'!$BW41,tblSortedNameData,COLUMN(INDIRECT("tblData[[Surname]]"))-1,0),"")</f>
        <v/>
      </c>
      <c r="C36" s="244" t="str">
        <f ca="1">IFERROR(VLOOKUP('Data Entry Form'!$BW41,tblSortedNameData,COLUMN(INDIRECT("tblData[[Given name]]"))-1,0),"")</f>
        <v/>
      </c>
      <c r="D36" s="244" t="str">
        <f ca="1">IFERROR(VLOOKUP('Data Entry Form'!$BW41,tblSortedNameData,COLUMN(INDIRECT("tblData[[Position]]"))-1,0),"")</f>
        <v/>
      </c>
      <c r="E36" s="245" t="str">
        <f ca="1">IFERROR(VLOOKUP('Data Entry Form'!$BW41,tblSortedNameData,COLUMN(INDIRECT("tblData[[Date of birth]]"))-1,0),"")</f>
        <v/>
      </c>
      <c r="F36" s="244" t="str">
        <f ca="1">IFERROR(VLOOKUP('Data Entry Form'!$BW41,tblSortedNameData,COLUMN(INDIRECT("tblData[[Place of Birth]]"))-1,0),"")</f>
        <v/>
      </c>
      <c r="G36" s="244" t="str">
        <f ca="1">IFERROR(VLOOKUP('Data Entry Form'!$BW41,tblSortedNameData,COLUMN(INDIRECT("tblData[[Nationality]]"))-1,0),"")</f>
        <v/>
      </c>
      <c r="H36" s="244" t="str">
        <f ca="1">IFERROR(VLOOKUP('Data Entry Form'!$BW41,tblSortedNameData,COLUMN(INDIRECT("tblData[[Passport Number]]"))-1,0),"")</f>
        <v/>
      </c>
      <c r="I36" s="245" t="str">
        <f ca="1">IFERROR(VLOOKUP('Data Entry Form'!$BW41,tblSortedNameData,COLUMN(INDIRECT("tblData[[Date of issue]]"))-1,0),"")</f>
        <v/>
      </c>
      <c r="J36" s="246" t="str">
        <f ca="1">IFERROR(VLOOKUP('Data Entry Form'!$BW41,tblSortedNameData,COLUMN(INDIRECT("tblData[[Date of expiry]]"))-1,0),"")</f>
        <v/>
      </c>
    </row>
    <row r="37" spans="1:10" s="112" customFormat="1" ht="15.95" customHeight="1">
      <c r="A37" s="243">
        <f t="shared" si="0"/>
        <v>29</v>
      </c>
      <c r="B37" s="244" t="str">
        <f ca="1">IFERROR(VLOOKUP('Data Entry Form'!$BW42,tblSortedNameData,COLUMN(INDIRECT("tblData[[Surname]]"))-1,0),"")</f>
        <v/>
      </c>
      <c r="C37" s="244" t="str">
        <f ca="1">IFERROR(VLOOKUP('Data Entry Form'!$BW42,tblSortedNameData,COLUMN(INDIRECT("tblData[[Given name]]"))-1,0),"")</f>
        <v/>
      </c>
      <c r="D37" s="244" t="str">
        <f ca="1">IFERROR(VLOOKUP('Data Entry Form'!$BW42,tblSortedNameData,COLUMN(INDIRECT("tblData[[Position]]"))-1,0),"")</f>
        <v/>
      </c>
      <c r="E37" s="245" t="str">
        <f ca="1">IFERROR(VLOOKUP('Data Entry Form'!$BW42,tblSortedNameData,COLUMN(INDIRECT("tblData[[Date of birth]]"))-1,0),"")</f>
        <v/>
      </c>
      <c r="F37" s="244" t="str">
        <f ca="1">IFERROR(VLOOKUP('Data Entry Form'!$BW42,tblSortedNameData,COLUMN(INDIRECT("tblData[[Place of Birth]]"))-1,0),"")</f>
        <v/>
      </c>
      <c r="G37" s="244" t="str">
        <f ca="1">IFERROR(VLOOKUP('Data Entry Form'!$BW42,tblSortedNameData,COLUMN(INDIRECT("tblData[[Nationality]]"))-1,0),"")</f>
        <v/>
      </c>
      <c r="H37" s="244" t="str">
        <f ca="1">IFERROR(VLOOKUP('Data Entry Form'!$BW42,tblSortedNameData,COLUMN(INDIRECT("tblData[[Passport Number]]"))-1,0),"")</f>
        <v/>
      </c>
      <c r="I37" s="245" t="str">
        <f ca="1">IFERROR(VLOOKUP('Data Entry Form'!$BW42,tblSortedNameData,COLUMN(INDIRECT("tblData[[Date of issue]]"))-1,0),"")</f>
        <v/>
      </c>
      <c r="J37" s="246" t="str">
        <f ca="1">IFERROR(VLOOKUP('Data Entry Form'!$BW42,tblSortedNameData,COLUMN(INDIRECT("tblData[[Date of expiry]]"))-1,0),"")</f>
        <v/>
      </c>
    </row>
    <row r="38" spans="1:10" s="112" customFormat="1" ht="15.95" customHeight="1">
      <c r="A38" s="243">
        <f t="shared" si="0"/>
        <v>30</v>
      </c>
      <c r="B38" s="244" t="str">
        <f ca="1">IFERROR(VLOOKUP('Data Entry Form'!$BW43,tblSortedNameData,COLUMN(INDIRECT("tblData[[Surname]]"))-1,0),"")</f>
        <v/>
      </c>
      <c r="C38" s="244" t="str">
        <f ca="1">IFERROR(VLOOKUP('Data Entry Form'!$BW43,tblSortedNameData,COLUMN(INDIRECT("tblData[[Given name]]"))-1,0),"")</f>
        <v/>
      </c>
      <c r="D38" s="244" t="str">
        <f ca="1">IFERROR(VLOOKUP('Data Entry Form'!$BW43,tblSortedNameData,COLUMN(INDIRECT("tblData[[Position]]"))-1,0),"")</f>
        <v/>
      </c>
      <c r="E38" s="245" t="str">
        <f ca="1">IFERROR(VLOOKUP('Data Entry Form'!$BW43,tblSortedNameData,COLUMN(INDIRECT("tblData[[Date of birth]]"))-1,0),"")</f>
        <v/>
      </c>
      <c r="F38" s="244" t="str">
        <f ca="1">IFERROR(VLOOKUP('Data Entry Form'!$BW43,tblSortedNameData,COLUMN(INDIRECT("tblData[[Place of Birth]]"))-1,0),"")</f>
        <v/>
      </c>
      <c r="G38" s="244" t="str">
        <f ca="1">IFERROR(VLOOKUP('Data Entry Form'!$BW43,tblSortedNameData,COLUMN(INDIRECT("tblData[[Nationality]]"))-1,0),"")</f>
        <v/>
      </c>
      <c r="H38" s="244" t="str">
        <f ca="1">IFERROR(VLOOKUP('Data Entry Form'!$BW43,tblSortedNameData,COLUMN(INDIRECT("tblData[[Passport Number]]"))-1,0),"")</f>
        <v/>
      </c>
      <c r="I38" s="245" t="str">
        <f ca="1">IFERROR(VLOOKUP('Data Entry Form'!$BW43,tblSortedNameData,COLUMN(INDIRECT("tblData[[Date of issue]]"))-1,0),"")</f>
        <v/>
      </c>
      <c r="J38" s="246" t="str">
        <f ca="1">IFERROR(VLOOKUP('Data Entry Form'!$BW43,tblSortedNameData,COLUMN(INDIRECT("tblData[[Date of expiry]]"))-1,0),"")</f>
        <v/>
      </c>
    </row>
    <row r="39" spans="1:10" s="112" customFormat="1" ht="15.95" customHeight="1">
      <c r="A39" s="243">
        <f t="shared" si="0"/>
        <v>31</v>
      </c>
      <c r="B39" s="244" t="str">
        <f ca="1">IFERROR(VLOOKUP('Data Entry Form'!$BW44,tblSortedNameData,COLUMN(INDIRECT("tblData[[Surname]]"))-1,0),"")</f>
        <v/>
      </c>
      <c r="C39" s="244" t="str">
        <f ca="1">IFERROR(VLOOKUP('Data Entry Form'!$BW44,tblSortedNameData,COLUMN(INDIRECT("tblData[[Given name]]"))-1,0),"")</f>
        <v/>
      </c>
      <c r="D39" s="244" t="str">
        <f ca="1">IFERROR(VLOOKUP('Data Entry Form'!$BW44,tblSortedNameData,COLUMN(INDIRECT("tblData[[Position]]"))-1,0),"")</f>
        <v/>
      </c>
      <c r="E39" s="245" t="str">
        <f ca="1">IFERROR(VLOOKUP('Data Entry Form'!$BW44,tblSortedNameData,COLUMN(INDIRECT("tblData[[Date of birth]]"))-1,0),"")</f>
        <v/>
      </c>
      <c r="F39" s="244" t="str">
        <f ca="1">IFERROR(VLOOKUP('Data Entry Form'!$BW44,tblSortedNameData,COLUMN(INDIRECT("tblData[[Place of Birth]]"))-1,0),"")</f>
        <v/>
      </c>
      <c r="G39" s="244" t="str">
        <f ca="1">IFERROR(VLOOKUP('Data Entry Form'!$BW44,tblSortedNameData,COLUMN(INDIRECT("tblData[[Nationality]]"))-1,0),"")</f>
        <v/>
      </c>
      <c r="H39" s="244" t="str">
        <f ca="1">IFERROR(VLOOKUP('Data Entry Form'!$BW44,tblSortedNameData,COLUMN(INDIRECT("tblData[[Passport Number]]"))-1,0),"")</f>
        <v/>
      </c>
      <c r="I39" s="245" t="str">
        <f ca="1">IFERROR(VLOOKUP('Data Entry Form'!$BW44,tblSortedNameData,COLUMN(INDIRECT("tblData[[Date of issue]]"))-1,0),"")</f>
        <v/>
      </c>
      <c r="J39" s="246" t="str">
        <f ca="1">IFERROR(VLOOKUP('Data Entry Form'!$BW44,tblSortedNameData,COLUMN(INDIRECT("tblData[[Date of expiry]]"))-1,0),"")</f>
        <v/>
      </c>
    </row>
    <row r="40" spans="1:10" s="112" customFormat="1" ht="15.95" customHeight="1">
      <c r="A40" s="243">
        <f t="shared" si="0"/>
        <v>32</v>
      </c>
      <c r="B40" s="244" t="str">
        <f ca="1">IFERROR(VLOOKUP('Data Entry Form'!$BW45,tblSortedNameData,COLUMN(INDIRECT("tblData[[Surname]]"))-1,0),"")</f>
        <v/>
      </c>
      <c r="C40" s="244" t="str">
        <f ca="1">IFERROR(VLOOKUP('Data Entry Form'!$BW45,tblSortedNameData,COLUMN(INDIRECT("tblData[[Given name]]"))-1,0),"")</f>
        <v/>
      </c>
      <c r="D40" s="244" t="str">
        <f ca="1">IFERROR(VLOOKUP('Data Entry Form'!$BW45,tblSortedNameData,COLUMN(INDIRECT("tblData[[Position]]"))-1,0),"")</f>
        <v/>
      </c>
      <c r="E40" s="245" t="str">
        <f ca="1">IFERROR(VLOOKUP('Data Entry Form'!$BW45,tblSortedNameData,COLUMN(INDIRECT("tblData[[Date of birth]]"))-1,0),"")</f>
        <v/>
      </c>
      <c r="F40" s="244" t="str">
        <f ca="1">IFERROR(VLOOKUP('Data Entry Form'!$BW45,tblSortedNameData,COLUMN(INDIRECT("tblData[[Place of Birth]]"))-1,0),"")</f>
        <v/>
      </c>
      <c r="G40" s="244" t="str">
        <f ca="1">IFERROR(VLOOKUP('Data Entry Form'!$BW45,tblSortedNameData,COLUMN(INDIRECT("tblData[[Nationality]]"))-1,0),"")</f>
        <v/>
      </c>
      <c r="H40" s="244" t="str">
        <f ca="1">IFERROR(VLOOKUP('Data Entry Form'!$BW45,tblSortedNameData,COLUMN(INDIRECT("tblData[[Passport Number]]"))-1,0),"")</f>
        <v/>
      </c>
      <c r="I40" s="245" t="str">
        <f ca="1">IFERROR(VLOOKUP('Data Entry Form'!$BW45,tblSortedNameData,COLUMN(INDIRECT("tblData[[Date of issue]]"))-1,0),"")</f>
        <v/>
      </c>
      <c r="J40" s="246" t="str">
        <f ca="1">IFERROR(VLOOKUP('Data Entry Form'!$BW45,tblSortedNameData,COLUMN(INDIRECT("tblData[[Date of expiry]]"))-1,0),"")</f>
        <v/>
      </c>
    </row>
    <row r="41" spans="1:10" s="112" customFormat="1" ht="15.95" customHeight="1">
      <c r="A41" s="243">
        <f t="shared" si="0"/>
        <v>33</v>
      </c>
      <c r="B41" s="244" t="str">
        <f ca="1">IFERROR(VLOOKUP('Data Entry Form'!$BW46,tblSortedNameData,COLUMN(INDIRECT("tblData[[Surname]]"))-1,0),"")</f>
        <v/>
      </c>
      <c r="C41" s="244" t="str">
        <f ca="1">IFERROR(VLOOKUP('Data Entry Form'!$BW46,tblSortedNameData,COLUMN(INDIRECT("tblData[[Given name]]"))-1,0),"")</f>
        <v/>
      </c>
      <c r="D41" s="244" t="str">
        <f ca="1">IFERROR(VLOOKUP('Data Entry Form'!$BW46,tblSortedNameData,COLUMN(INDIRECT("tblData[[Position]]"))-1,0),"")</f>
        <v/>
      </c>
      <c r="E41" s="245" t="str">
        <f ca="1">IFERROR(VLOOKUP('Data Entry Form'!$BW46,tblSortedNameData,COLUMN(INDIRECT("tblData[[Date of birth]]"))-1,0),"")</f>
        <v/>
      </c>
      <c r="F41" s="244" t="str">
        <f ca="1">IFERROR(VLOOKUP('Data Entry Form'!$BW46,tblSortedNameData,COLUMN(INDIRECT("tblData[[Place of Birth]]"))-1,0),"")</f>
        <v/>
      </c>
      <c r="G41" s="244" t="str">
        <f ca="1">IFERROR(VLOOKUP('Data Entry Form'!$BW46,tblSortedNameData,COLUMN(INDIRECT("tblData[[Nationality]]"))-1,0),"")</f>
        <v/>
      </c>
      <c r="H41" s="244" t="str">
        <f ca="1">IFERROR(VLOOKUP('Data Entry Form'!$BW46,tblSortedNameData,COLUMN(INDIRECT("tblData[[Passport Number]]"))-1,0),"")</f>
        <v/>
      </c>
      <c r="I41" s="245" t="str">
        <f ca="1">IFERROR(VLOOKUP('Data Entry Form'!$BW46,tblSortedNameData,COLUMN(INDIRECT("tblData[[Date of issue]]"))-1,0),"")</f>
        <v/>
      </c>
      <c r="J41" s="246" t="str">
        <f ca="1">IFERROR(VLOOKUP('Data Entry Form'!$BW46,tblSortedNameData,COLUMN(INDIRECT("tblData[[Date of expiry]]"))-1,0),"")</f>
        <v/>
      </c>
    </row>
    <row r="42" spans="1:10" s="112" customFormat="1" ht="15.95" customHeight="1">
      <c r="A42" s="243">
        <f t="shared" si="0"/>
        <v>34</v>
      </c>
      <c r="B42" s="244" t="str">
        <f ca="1">IFERROR(VLOOKUP('Data Entry Form'!$BW47,tblSortedNameData,COLUMN(INDIRECT("tblData[[Surname]]"))-1,0),"")</f>
        <v/>
      </c>
      <c r="C42" s="244" t="str">
        <f ca="1">IFERROR(VLOOKUP('Data Entry Form'!$BW47,tblSortedNameData,COLUMN(INDIRECT("tblData[[Given name]]"))-1,0),"")</f>
        <v/>
      </c>
      <c r="D42" s="244" t="str">
        <f ca="1">IFERROR(VLOOKUP('Data Entry Form'!$BW47,tblSortedNameData,COLUMN(INDIRECT("tblData[[Position]]"))-1,0),"")</f>
        <v/>
      </c>
      <c r="E42" s="245" t="str">
        <f ca="1">IFERROR(VLOOKUP('Data Entry Form'!$BW47,tblSortedNameData,COLUMN(INDIRECT("tblData[[Date of birth]]"))-1,0),"")</f>
        <v/>
      </c>
      <c r="F42" s="244" t="str">
        <f ca="1">IFERROR(VLOOKUP('Data Entry Form'!$BW47,tblSortedNameData,COLUMN(INDIRECT("tblData[[Place of Birth]]"))-1,0),"")</f>
        <v/>
      </c>
      <c r="G42" s="244" t="str">
        <f ca="1">IFERROR(VLOOKUP('Data Entry Form'!$BW47,tblSortedNameData,COLUMN(INDIRECT("tblData[[Nationality]]"))-1,0),"")</f>
        <v/>
      </c>
      <c r="H42" s="244" t="str">
        <f ca="1">IFERROR(VLOOKUP('Data Entry Form'!$BW47,tblSortedNameData,COLUMN(INDIRECT("tblData[[Passport Number]]"))-1,0),"")</f>
        <v/>
      </c>
      <c r="I42" s="245" t="str">
        <f ca="1">IFERROR(VLOOKUP('Data Entry Form'!$BW47,tblSortedNameData,COLUMN(INDIRECT("tblData[[Date of issue]]"))-1,0),"")</f>
        <v/>
      </c>
      <c r="J42" s="246" t="str">
        <f ca="1">IFERROR(VLOOKUP('Data Entry Form'!$BW47,tblSortedNameData,COLUMN(INDIRECT("tblData[[Date of expiry]]"))-1,0),"")</f>
        <v/>
      </c>
    </row>
    <row r="43" spans="1:10" s="112" customFormat="1" ht="15.95" customHeight="1">
      <c r="A43" s="243">
        <f t="shared" si="0"/>
        <v>35</v>
      </c>
      <c r="B43" s="244" t="str">
        <f ca="1">IFERROR(VLOOKUP('Data Entry Form'!$BW48,tblSortedNameData,COLUMN(INDIRECT("tblData[[Surname]]"))-1,0),"")</f>
        <v/>
      </c>
      <c r="C43" s="244" t="str">
        <f ca="1">IFERROR(VLOOKUP('Data Entry Form'!$BW48,tblSortedNameData,COLUMN(INDIRECT("tblData[[Given name]]"))-1,0),"")</f>
        <v/>
      </c>
      <c r="D43" s="244" t="str">
        <f ca="1">IFERROR(VLOOKUP('Data Entry Form'!$BW48,tblSortedNameData,COLUMN(INDIRECT("tblData[[Position]]"))-1,0),"")</f>
        <v/>
      </c>
      <c r="E43" s="245" t="str">
        <f ca="1">IFERROR(VLOOKUP('Data Entry Form'!$BW48,tblSortedNameData,COLUMN(INDIRECT("tblData[[Date of birth]]"))-1,0),"")</f>
        <v/>
      </c>
      <c r="F43" s="244" t="str">
        <f ca="1">IFERROR(VLOOKUP('Data Entry Form'!$BW48,tblSortedNameData,COLUMN(INDIRECT("tblData[[Place of Birth]]"))-1,0),"")</f>
        <v/>
      </c>
      <c r="G43" s="244" t="str">
        <f ca="1">IFERROR(VLOOKUP('Data Entry Form'!$BW48,tblSortedNameData,COLUMN(INDIRECT("tblData[[Nationality]]"))-1,0),"")</f>
        <v/>
      </c>
      <c r="H43" s="244" t="str">
        <f ca="1">IFERROR(VLOOKUP('Data Entry Form'!$BW48,tblSortedNameData,COLUMN(INDIRECT("tblData[[Passport Number]]"))-1,0),"")</f>
        <v/>
      </c>
      <c r="I43" s="245" t="str">
        <f ca="1">IFERROR(VLOOKUP('Data Entry Form'!$BW48,tblSortedNameData,COLUMN(INDIRECT("tblData[[Date of issue]]"))-1,0),"")</f>
        <v/>
      </c>
      <c r="J43" s="246" t="str">
        <f ca="1">IFERROR(VLOOKUP('Data Entry Form'!$BW48,tblSortedNameData,COLUMN(INDIRECT("tblData[[Date of expiry]]"))-1,0),"")</f>
        <v/>
      </c>
    </row>
    <row r="44" spans="1:10" s="112" customFormat="1" ht="15.95" customHeight="1">
      <c r="A44" s="243">
        <f t="shared" si="0"/>
        <v>36</v>
      </c>
      <c r="B44" s="244" t="str">
        <f ca="1">IFERROR(VLOOKUP('Data Entry Form'!$BW49,tblSortedNameData,COLUMN(INDIRECT("tblData[[Surname]]"))-1,0),"")</f>
        <v/>
      </c>
      <c r="C44" s="244" t="str">
        <f ca="1">IFERROR(VLOOKUP('Data Entry Form'!$BW49,tblSortedNameData,COLUMN(INDIRECT("tblData[[Given name]]"))-1,0),"")</f>
        <v/>
      </c>
      <c r="D44" s="244" t="str">
        <f ca="1">IFERROR(VLOOKUP('Data Entry Form'!$BW49,tblSortedNameData,COLUMN(INDIRECT("tblData[[Position]]"))-1,0),"")</f>
        <v/>
      </c>
      <c r="E44" s="245" t="str">
        <f ca="1">IFERROR(VLOOKUP('Data Entry Form'!$BW49,tblSortedNameData,COLUMN(INDIRECT("tblData[[Date of birth]]"))-1,0),"")</f>
        <v/>
      </c>
      <c r="F44" s="244" t="str">
        <f ca="1">IFERROR(VLOOKUP('Data Entry Form'!$BW49,tblSortedNameData,COLUMN(INDIRECT("tblData[[Place of Birth]]"))-1,0),"")</f>
        <v/>
      </c>
      <c r="G44" s="244" t="str">
        <f ca="1">IFERROR(VLOOKUP('Data Entry Form'!$BW49,tblSortedNameData,COLUMN(INDIRECT("tblData[[Nationality]]"))-1,0),"")</f>
        <v/>
      </c>
      <c r="H44" s="244" t="str">
        <f ca="1">IFERROR(VLOOKUP('Data Entry Form'!$BW49,tblSortedNameData,COLUMN(INDIRECT("tblData[[Passport Number]]"))-1,0),"")</f>
        <v/>
      </c>
      <c r="I44" s="245" t="str">
        <f ca="1">IFERROR(VLOOKUP('Data Entry Form'!$BW49,tblSortedNameData,COLUMN(INDIRECT("tblData[[Date of issue]]"))-1,0),"")</f>
        <v/>
      </c>
      <c r="J44" s="246" t="str">
        <f ca="1">IFERROR(VLOOKUP('Data Entry Form'!$BW49,tblSortedNameData,COLUMN(INDIRECT("tblData[[Date of expiry]]"))-1,0),"")</f>
        <v/>
      </c>
    </row>
    <row r="45" spans="1:10" s="112" customFormat="1" ht="15.95" customHeight="1">
      <c r="A45" s="243">
        <f t="shared" si="0"/>
        <v>37</v>
      </c>
      <c r="B45" s="244" t="str">
        <f ca="1">IFERROR(VLOOKUP('Data Entry Form'!$BW50,tblSortedNameData,COLUMN(INDIRECT("tblData[[Surname]]"))-1,0),"")</f>
        <v/>
      </c>
      <c r="C45" s="244" t="str">
        <f ca="1">IFERROR(VLOOKUP('Data Entry Form'!$BW50,tblSortedNameData,COLUMN(INDIRECT("tblData[[Given name]]"))-1,0),"")</f>
        <v/>
      </c>
      <c r="D45" s="244" t="str">
        <f ca="1">IFERROR(VLOOKUP('Data Entry Form'!$BW50,tblSortedNameData,COLUMN(INDIRECT("tblData[[Position]]"))-1,0),"")</f>
        <v/>
      </c>
      <c r="E45" s="245" t="str">
        <f ca="1">IFERROR(VLOOKUP('Data Entry Form'!$BW50,tblSortedNameData,COLUMN(INDIRECT("tblData[[Date of birth]]"))-1,0),"")</f>
        <v/>
      </c>
      <c r="F45" s="244" t="str">
        <f ca="1">IFERROR(VLOOKUP('Data Entry Form'!$BW50,tblSortedNameData,COLUMN(INDIRECT("tblData[[Place of Birth]]"))-1,0),"")</f>
        <v/>
      </c>
      <c r="G45" s="244" t="str">
        <f ca="1">IFERROR(VLOOKUP('Data Entry Form'!$BW50,tblSortedNameData,COLUMN(INDIRECT("tblData[[Nationality]]"))-1,0),"")</f>
        <v/>
      </c>
      <c r="H45" s="244" t="str">
        <f ca="1">IFERROR(VLOOKUP('Data Entry Form'!$BW50,tblSortedNameData,COLUMN(INDIRECT("tblData[[Passport Number]]"))-1,0),"")</f>
        <v/>
      </c>
      <c r="I45" s="245" t="str">
        <f ca="1">IFERROR(VLOOKUP('Data Entry Form'!$BW50,tblSortedNameData,COLUMN(INDIRECT("tblData[[Date of issue]]"))-1,0),"")</f>
        <v/>
      </c>
      <c r="J45" s="246" t="str">
        <f ca="1">IFERROR(VLOOKUP('Data Entry Form'!$BW50,tblSortedNameData,COLUMN(INDIRECT("tblData[[Date of expiry]]"))-1,0),"")</f>
        <v/>
      </c>
    </row>
    <row r="46" spans="1:10" s="112" customFormat="1" ht="15.95" customHeight="1">
      <c r="A46" s="243">
        <f t="shared" si="0"/>
        <v>38</v>
      </c>
      <c r="B46" s="244" t="str">
        <f ca="1">IFERROR(VLOOKUP('Data Entry Form'!$BW51,tblSortedNameData,COLUMN(INDIRECT("tblData[[Surname]]"))-1,0),"")</f>
        <v/>
      </c>
      <c r="C46" s="244" t="str">
        <f ca="1">IFERROR(VLOOKUP('Data Entry Form'!$BW51,tblSortedNameData,COLUMN(INDIRECT("tblData[[Given name]]"))-1,0),"")</f>
        <v/>
      </c>
      <c r="D46" s="244" t="str">
        <f ca="1">IFERROR(VLOOKUP('Data Entry Form'!$BW51,tblSortedNameData,COLUMN(INDIRECT("tblData[[Position]]"))-1,0),"")</f>
        <v/>
      </c>
      <c r="E46" s="245" t="str">
        <f ca="1">IFERROR(VLOOKUP('Data Entry Form'!$BW51,tblSortedNameData,COLUMN(INDIRECT("tblData[[Date of birth]]"))-1,0),"")</f>
        <v/>
      </c>
      <c r="F46" s="244" t="str">
        <f ca="1">IFERROR(VLOOKUP('Data Entry Form'!$BW51,tblSortedNameData,COLUMN(INDIRECT("tblData[[Place of Birth]]"))-1,0),"")</f>
        <v/>
      </c>
      <c r="G46" s="244" t="str">
        <f ca="1">IFERROR(VLOOKUP('Data Entry Form'!$BW51,tblSortedNameData,COLUMN(INDIRECT("tblData[[Nationality]]"))-1,0),"")</f>
        <v/>
      </c>
      <c r="H46" s="244" t="str">
        <f ca="1">IFERROR(VLOOKUP('Data Entry Form'!$BW51,tblSortedNameData,COLUMN(INDIRECT("tblData[[Passport Number]]"))-1,0),"")</f>
        <v/>
      </c>
      <c r="I46" s="245" t="str">
        <f ca="1">IFERROR(VLOOKUP('Data Entry Form'!$BW51,tblSortedNameData,COLUMN(INDIRECT("tblData[[Date of issue]]"))-1,0),"")</f>
        <v/>
      </c>
      <c r="J46" s="246" t="str">
        <f ca="1">IFERROR(VLOOKUP('Data Entry Form'!$BW51,tblSortedNameData,COLUMN(INDIRECT("tblData[[Date of expiry]]"))-1,0),"")</f>
        <v/>
      </c>
    </row>
    <row r="47" spans="1:10" s="112" customFormat="1" ht="15.95" customHeight="1">
      <c r="A47" s="243">
        <f t="shared" si="0"/>
        <v>39</v>
      </c>
      <c r="B47" s="244" t="str">
        <f ca="1">IFERROR(VLOOKUP('Data Entry Form'!$BW52,tblSortedNameData,COLUMN(INDIRECT("tblData[[Surname]]"))-1,0),"")</f>
        <v/>
      </c>
      <c r="C47" s="244" t="str">
        <f ca="1">IFERROR(VLOOKUP('Data Entry Form'!$BW52,tblSortedNameData,COLUMN(INDIRECT("tblData[[Given name]]"))-1,0),"")</f>
        <v/>
      </c>
      <c r="D47" s="244" t="str">
        <f ca="1">IFERROR(VLOOKUP('Data Entry Form'!$BW52,tblSortedNameData,COLUMN(INDIRECT("tblData[[Position]]"))-1,0),"")</f>
        <v/>
      </c>
      <c r="E47" s="245" t="str">
        <f ca="1">IFERROR(VLOOKUP('Data Entry Form'!$BW52,tblSortedNameData,COLUMN(INDIRECT("tblData[[Date of birth]]"))-1,0),"")</f>
        <v/>
      </c>
      <c r="F47" s="244" t="str">
        <f ca="1">IFERROR(VLOOKUP('Data Entry Form'!$BW52,tblSortedNameData,COLUMN(INDIRECT("tblData[[Place of Birth]]"))-1,0),"")</f>
        <v/>
      </c>
      <c r="G47" s="244" t="str">
        <f ca="1">IFERROR(VLOOKUP('Data Entry Form'!$BW52,tblSortedNameData,COLUMN(INDIRECT("tblData[[Nationality]]"))-1,0),"")</f>
        <v/>
      </c>
      <c r="H47" s="244" t="str">
        <f ca="1">IFERROR(VLOOKUP('Data Entry Form'!$BW52,tblSortedNameData,COLUMN(INDIRECT("tblData[[Passport Number]]"))-1,0),"")</f>
        <v/>
      </c>
      <c r="I47" s="245" t="str">
        <f ca="1">IFERROR(VLOOKUP('Data Entry Form'!$BW52,tblSortedNameData,COLUMN(INDIRECT("tblData[[Date of issue]]"))-1,0),"")</f>
        <v/>
      </c>
      <c r="J47" s="246" t="str">
        <f ca="1">IFERROR(VLOOKUP('Data Entry Form'!$BW52,tblSortedNameData,COLUMN(INDIRECT("tblData[[Date of expiry]]"))-1,0),"")</f>
        <v/>
      </c>
    </row>
    <row r="48" spans="1:10" s="112" customFormat="1" ht="15.95" customHeight="1">
      <c r="A48" s="243">
        <f t="shared" si="0"/>
        <v>40</v>
      </c>
      <c r="B48" s="244" t="str">
        <f ca="1">IFERROR(VLOOKUP('Data Entry Form'!$BW53,tblSortedNameData,COLUMN(INDIRECT("tblData[[Surname]]"))-1,0),"")</f>
        <v/>
      </c>
      <c r="C48" s="244" t="str">
        <f ca="1">IFERROR(VLOOKUP('Data Entry Form'!$BW53,tblSortedNameData,COLUMN(INDIRECT("tblData[[Given name]]"))-1,0),"")</f>
        <v/>
      </c>
      <c r="D48" s="244" t="str">
        <f ca="1">IFERROR(VLOOKUP('Data Entry Form'!$BW53,tblSortedNameData,COLUMN(INDIRECT("tblData[[Position]]"))-1,0),"")</f>
        <v/>
      </c>
      <c r="E48" s="245" t="str">
        <f ca="1">IFERROR(VLOOKUP('Data Entry Form'!$BW53,tblSortedNameData,COLUMN(INDIRECT("tblData[[Date of birth]]"))-1,0),"")</f>
        <v/>
      </c>
      <c r="F48" s="244" t="str">
        <f ca="1">IFERROR(VLOOKUP('Data Entry Form'!$BW53,tblSortedNameData,COLUMN(INDIRECT("tblData[[Place of Birth]]"))-1,0),"")</f>
        <v/>
      </c>
      <c r="G48" s="244" t="str">
        <f ca="1">IFERROR(VLOOKUP('Data Entry Form'!$BW53,tblSortedNameData,COLUMN(INDIRECT("tblData[[Nationality]]"))-1,0),"")</f>
        <v/>
      </c>
      <c r="H48" s="244" t="str">
        <f ca="1">IFERROR(VLOOKUP('Data Entry Form'!$BW53,tblSortedNameData,COLUMN(INDIRECT("tblData[[Passport Number]]"))-1,0),"")</f>
        <v/>
      </c>
      <c r="I48" s="245" t="str">
        <f ca="1">IFERROR(VLOOKUP('Data Entry Form'!$BW53,tblSortedNameData,COLUMN(INDIRECT("tblData[[Date of issue]]"))-1,0),"")</f>
        <v/>
      </c>
      <c r="J48" s="246" t="str">
        <f ca="1">IFERROR(VLOOKUP('Data Entry Form'!$BW53,tblSortedNameData,COLUMN(INDIRECT("tblData[[Date of expiry]]"))-1,0),"")</f>
        <v/>
      </c>
    </row>
    <row r="49" spans="1:10" s="112" customFormat="1" ht="15.95" customHeight="1">
      <c r="A49" s="243">
        <f t="shared" si="0"/>
        <v>41</v>
      </c>
      <c r="B49" s="244" t="str">
        <f ca="1">IFERROR(VLOOKUP('Data Entry Form'!$BW54,tblSortedNameData,COLUMN(INDIRECT("tblData[[Surname]]"))-1,0),"")</f>
        <v/>
      </c>
      <c r="C49" s="244" t="str">
        <f ca="1">IFERROR(VLOOKUP('Data Entry Form'!$BW54,tblSortedNameData,COLUMN(INDIRECT("tblData[[Given name]]"))-1,0),"")</f>
        <v/>
      </c>
      <c r="D49" s="244" t="str">
        <f ca="1">IFERROR(VLOOKUP('Data Entry Form'!$BW54,tblSortedNameData,COLUMN(INDIRECT("tblData[[Position]]"))-1,0),"")</f>
        <v/>
      </c>
      <c r="E49" s="245" t="str">
        <f ca="1">IFERROR(VLOOKUP('Data Entry Form'!$BW54,tblSortedNameData,COLUMN(INDIRECT("tblData[[Date of birth]]"))-1,0),"")</f>
        <v/>
      </c>
      <c r="F49" s="244" t="str">
        <f ca="1">IFERROR(VLOOKUP('Data Entry Form'!$BW54,tblSortedNameData,COLUMN(INDIRECT("tblData[[Place of Birth]]"))-1,0),"")</f>
        <v/>
      </c>
      <c r="G49" s="244" t="str">
        <f ca="1">IFERROR(VLOOKUP('Data Entry Form'!$BW54,tblSortedNameData,COLUMN(INDIRECT("tblData[[Nationality]]"))-1,0),"")</f>
        <v/>
      </c>
      <c r="H49" s="244" t="str">
        <f ca="1">IFERROR(VLOOKUP('Data Entry Form'!$BW54,tblSortedNameData,COLUMN(INDIRECT("tblData[[Passport Number]]"))-1,0),"")</f>
        <v/>
      </c>
      <c r="I49" s="245" t="str">
        <f ca="1">IFERROR(VLOOKUP('Data Entry Form'!$BW54,tblSortedNameData,COLUMN(INDIRECT("tblData[[Date of issue]]"))-1,0),"")</f>
        <v/>
      </c>
      <c r="J49" s="246" t="str">
        <f ca="1">IFERROR(VLOOKUP('Data Entry Form'!$BW54,tblSortedNameData,COLUMN(INDIRECT("tblData[[Date of expiry]]"))-1,0),"")</f>
        <v/>
      </c>
    </row>
    <row r="50" spans="1:10" s="112" customFormat="1" ht="15.95" customHeight="1">
      <c r="A50" s="243">
        <f t="shared" si="0"/>
        <v>42</v>
      </c>
      <c r="B50" s="244" t="str">
        <f ca="1">IFERROR(VLOOKUP('Data Entry Form'!$BW55,tblSortedNameData,COLUMN(INDIRECT("tblData[[Surname]]"))-1,0),"")</f>
        <v/>
      </c>
      <c r="C50" s="244" t="str">
        <f ca="1">IFERROR(VLOOKUP('Data Entry Form'!$BW55,tblSortedNameData,COLUMN(INDIRECT("tblData[[Given name]]"))-1,0),"")</f>
        <v/>
      </c>
      <c r="D50" s="244" t="str">
        <f ca="1">IFERROR(VLOOKUP('Data Entry Form'!$BW55,tblSortedNameData,COLUMN(INDIRECT("tblData[[Position]]"))-1,0),"")</f>
        <v/>
      </c>
      <c r="E50" s="245" t="str">
        <f ca="1">IFERROR(VLOOKUP('Data Entry Form'!$BW55,tblSortedNameData,COLUMN(INDIRECT("tblData[[Date of birth]]"))-1,0),"")</f>
        <v/>
      </c>
      <c r="F50" s="244" t="str">
        <f ca="1">IFERROR(VLOOKUP('Data Entry Form'!$BW55,tblSortedNameData,COLUMN(INDIRECT("tblData[[Place of Birth]]"))-1,0),"")</f>
        <v/>
      </c>
      <c r="G50" s="244" t="str">
        <f ca="1">IFERROR(VLOOKUP('Data Entry Form'!$BW55,tblSortedNameData,COLUMN(INDIRECT("tblData[[Nationality]]"))-1,0),"")</f>
        <v/>
      </c>
      <c r="H50" s="244" t="str">
        <f ca="1">IFERROR(VLOOKUP('Data Entry Form'!$BW55,tblSortedNameData,COLUMN(INDIRECT("tblData[[Passport Number]]"))-1,0),"")</f>
        <v/>
      </c>
      <c r="I50" s="245" t="str">
        <f ca="1">IFERROR(VLOOKUP('Data Entry Form'!$BW55,tblSortedNameData,COLUMN(INDIRECT("tblData[[Date of issue]]"))-1,0),"")</f>
        <v/>
      </c>
      <c r="J50" s="246" t="str">
        <f ca="1">IFERROR(VLOOKUP('Data Entry Form'!$BW55,tblSortedNameData,COLUMN(INDIRECT("tblData[[Date of expiry]]"))-1,0),"")</f>
        <v/>
      </c>
    </row>
    <row r="51" spans="1:10" s="112" customFormat="1" ht="15.95" customHeight="1">
      <c r="A51" s="243">
        <f t="shared" si="0"/>
        <v>43</v>
      </c>
      <c r="B51" s="244" t="str">
        <f ca="1">IFERROR(VLOOKUP('Data Entry Form'!$BW56,tblSortedNameData,COLUMN(INDIRECT("tblData[[Surname]]"))-1,0),"")</f>
        <v/>
      </c>
      <c r="C51" s="244" t="str">
        <f ca="1">IFERROR(VLOOKUP('Data Entry Form'!$BW56,tblSortedNameData,COLUMN(INDIRECT("tblData[[Given name]]"))-1,0),"")</f>
        <v/>
      </c>
      <c r="D51" s="244" t="str">
        <f ca="1">IFERROR(VLOOKUP('Data Entry Form'!$BW56,tblSortedNameData,COLUMN(INDIRECT("tblData[[Position]]"))-1,0),"")</f>
        <v/>
      </c>
      <c r="E51" s="245" t="str">
        <f ca="1">IFERROR(VLOOKUP('Data Entry Form'!$BW56,tblSortedNameData,COLUMN(INDIRECT("tblData[[Date of birth]]"))-1,0),"")</f>
        <v/>
      </c>
      <c r="F51" s="244" t="str">
        <f ca="1">IFERROR(VLOOKUP('Data Entry Form'!$BW56,tblSortedNameData,COLUMN(INDIRECT("tblData[[Place of Birth]]"))-1,0),"")</f>
        <v/>
      </c>
      <c r="G51" s="244" t="str">
        <f ca="1">IFERROR(VLOOKUP('Data Entry Form'!$BW56,tblSortedNameData,COLUMN(INDIRECT("tblData[[Nationality]]"))-1,0),"")</f>
        <v/>
      </c>
      <c r="H51" s="244" t="str">
        <f ca="1">IFERROR(VLOOKUP('Data Entry Form'!$BW56,tblSortedNameData,COLUMN(INDIRECT("tblData[[Passport Number]]"))-1,0),"")</f>
        <v/>
      </c>
      <c r="I51" s="245" t="str">
        <f ca="1">IFERROR(VLOOKUP('Data Entry Form'!$BW56,tblSortedNameData,COLUMN(INDIRECT("tblData[[Date of issue]]"))-1,0),"")</f>
        <v/>
      </c>
      <c r="J51" s="246" t="str">
        <f ca="1">IFERROR(VLOOKUP('Data Entry Form'!$BW56,tblSortedNameData,COLUMN(INDIRECT("tblData[[Date of expiry]]"))-1,0),"")</f>
        <v/>
      </c>
    </row>
    <row r="52" spans="1:10" s="112" customFormat="1" ht="15.95" customHeight="1">
      <c r="A52" s="243">
        <f t="shared" si="0"/>
        <v>44</v>
      </c>
      <c r="B52" s="244" t="str">
        <f ca="1">IFERROR(VLOOKUP('Data Entry Form'!$BW57,tblSortedNameData,COLUMN(INDIRECT("tblData[[Surname]]"))-1,0),"")</f>
        <v/>
      </c>
      <c r="C52" s="244" t="str">
        <f ca="1">IFERROR(VLOOKUP('Data Entry Form'!$BW57,tblSortedNameData,COLUMN(INDIRECT("tblData[[Given name]]"))-1,0),"")</f>
        <v/>
      </c>
      <c r="D52" s="244" t="str">
        <f ca="1">IFERROR(VLOOKUP('Data Entry Form'!$BW57,tblSortedNameData,COLUMN(INDIRECT("tblData[[Position]]"))-1,0),"")</f>
        <v/>
      </c>
      <c r="E52" s="245" t="str">
        <f ca="1">IFERROR(VLOOKUP('Data Entry Form'!$BW57,tblSortedNameData,COLUMN(INDIRECT("tblData[[Date of birth]]"))-1,0),"")</f>
        <v/>
      </c>
      <c r="F52" s="244" t="str">
        <f ca="1">IFERROR(VLOOKUP('Data Entry Form'!$BW57,tblSortedNameData,COLUMN(INDIRECT("tblData[[Place of Birth]]"))-1,0),"")</f>
        <v/>
      </c>
      <c r="G52" s="244" t="str">
        <f ca="1">IFERROR(VLOOKUP('Data Entry Form'!$BW57,tblSortedNameData,COLUMN(INDIRECT("tblData[[Nationality]]"))-1,0),"")</f>
        <v/>
      </c>
      <c r="H52" s="244" t="str">
        <f ca="1">IFERROR(VLOOKUP('Data Entry Form'!$BW57,tblSortedNameData,COLUMN(INDIRECT("tblData[[Passport Number]]"))-1,0),"")</f>
        <v/>
      </c>
      <c r="I52" s="245" t="str">
        <f ca="1">IFERROR(VLOOKUP('Data Entry Form'!$BW57,tblSortedNameData,COLUMN(INDIRECT("tblData[[Date of issue]]"))-1,0),"")</f>
        <v/>
      </c>
      <c r="J52" s="246" t="str">
        <f ca="1">IFERROR(VLOOKUP('Data Entry Form'!$BW57,tblSortedNameData,COLUMN(INDIRECT("tblData[[Date of expiry]]"))-1,0),"")</f>
        <v/>
      </c>
    </row>
    <row r="53" spans="1:10" s="112" customFormat="1" ht="15.95" customHeight="1">
      <c r="A53" s="243">
        <f t="shared" si="0"/>
        <v>45</v>
      </c>
      <c r="B53" s="244" t="str">
        <f ca="1">IFERROR(VLOOKUP('Data Entry Form'!$BW58,tblSortedNameData,COLUMN(INDIRECT("tblData[[Surname]]"))-1,0),"")</f>
        <v/>
      </c>
      <c r="C53" s="244" t="str">
        <f ca="1">IFERROR(VLOOKUP('Data Entry Form'!$BW58,tblSortedNameData,COLUMN(INDIRECT("tblData[[Given name]]"))-1,0),"")</f>
        <v/>
      </c>
      <c r="D53" s="244" t="str">
        <f ca="1">IFERROR(VLOOKUP('Data Entry Form'!$BW58,tblSortedNameData,COLUMN(INDIRECT("tblData[[Position]]"))-1,0),"")</f>
        <v/>
      </c>
      <c r="E53" s="245" t="str">
        <f ca="1">IFERROR(VLOOKUP('Data Entry Form'!$BW58,tblSortedNameData,COLUMN(INDIRECT("tblData[[Date of birth]]"))-1,0),"")</f>
        <v/>
      </c>
      <c r="F53" s="244" t="str">
        <f ca="1">IFERROR(VLOOKUP('Data Entry Form'!$BW58,tblSortedNameData,COLUMN(INDIRECT("tblData[[Place of Birth]]"))-1,0),"")</f>
        <v/>
      </c>
      <c r="G53" s="244" t="str">
        <f ca="1">IFERROR(VLOOKUP('Data Entry Form'!$BW58,tblSortedNameData,COLUMN(INDIRECT("tblData[[Nationality]]"))-1,0),"")</f>
        <v/>
      </c>
      <c r="H53" s="244" t="str">
        <f ca="1">IFERROR(VLOOKUP('Data Entry Form'!$BW58,tblSortedNameData,COLUMN(INDIRECT("tblData[[Passport Number]]"))-1,0),"")</f>
        <v/>
      </c>
      <c r="I53" s="245" t="str">
        <f ca="1">IFERROR(VLOOKUP('Data Entry Form'!$BW58,tblSortedNameData,COLUMN(INDIRECT("tblData[[Date of issue]]"))-1,0),"")</f>
        <v/>
      </c>
      <c r="J53" s="246" t="str">
        <f ca="1">IFERROR(VLOOKUP('Data Entry Form'!$BW58,tblSortedNameData,COLUMN(INDIRECT("tblData[[Date of expiry]]"))-1,0),"")</f>
        <v/>
      </c>
    </row>
    <row r="54" spans="1:10" s="112" customFormat="1" ht="15.95" customHeight="1">
      <c r="A54" s="243">
        <f t="shared" si="0"/>
        <v>46</v>
      </c>
      <c r="B54" s="244" t="str">
        <f ca="1">IFERROR(VLOOKUP('Data Entry Form'!$BW59,tblSortedNameData,COLUMN(INDIRECT("tblData[[Surname]]"))-1,0),"")</f>
        <v/>
      </c>
      <c r="C54" s="244" t="str">
        <f ca="1">IFERROR(VLOOKUP('Data Entry Form'!$BW59,tblSortedNameData,COLUMN(INDIRECT("tblData[[Given name]]"))-1,0),"")</f>
        <v/>
      </c>
      <c r="D54" s="244" t="str">
        <f ca="1">IFERROR(VLOOKUP('Data Entry Form'!$BW59,tblSortedNameData,COLUMN(INDIRECT("tblData[[Position]]"))-1,0),"")</f>
        <v/>
      </c>
      <c r="E54" s="245" t="str">
        <f ca="1">IFERROR(VLOOKUP('Data Entry Form'!$BW59,tblSortedNameData,COLUMN(INDIRECT("tblData[[Date of birth]]"))-1,0),"")</f>
        <v/>
      </c>
      <c r="F54" s="244" t="str">
        <f ca="1">IFERROR(VLOOKUP('Data Entry Form'!$BW59,tblSortedNameData,COLUMN(INDIRECT("tblData[[Place of Birth]]"))-1,0),"")</f>
        <v/>
      </c>
      <c r="G54" s="244" t="str">
        <f ca="1">IFERROR(VLOOKUP('Data Entry Form'!$BW59,tblSortedNameData,COLUMN(INDIRECT("tblData[[Nationality]]"))-1,0),"")</f>
        <v/>
      </c>
      <c r="H54" s="244" t="str">
        <f ca="1">IFERROR(VLOOKUP('Data Entry Form'!$BW59,tblSortedNameData,COLUMN(INDIRECT("tblData[[Passport Number]]"))-1,0),"")</f>
        <v/>
      </c>
      <c r="I54" s="245" t="str">
        <f ca="1">IFERROR(VLOOKUP('Data Entry Form'!$BW59,tblSortedNameData,COLUMN(INDIRECT("tblData[[Date of issue]]"))-1,0),"")</f>
        <v/>
      </c>
      <c r="J54" s="246" t="str">
        <f ca="1">IFERROR(VLOOKUP('Data Entry Form'!$BW59,tblSortedNameData,COLUMN(INDIRECT("tblData[[Date of expiry]]"))-1,0),"")</f>
        <v/>
      </c>
    </row>
    <row r="55" spans="1:10" s="112" customFormat="1" ht="15.95" customHeight="1">
      <c r="A55" s="243">
        <f t="shared" si="0"/>
        <v>47</v>
      </c>
      <c r="B55" s="244" t="str">
        <f ca="1">IFERROR(VLOOKUP('Data Entry Form'!$BW60,tblSortedNameData,COLUMN(INDIRECT("tblData[[Surname]]"))-1,0),"")</f>
        <v/>
      </c>
      <c r="C55" s="244" t="str">
        <f ca="1">IFERROR(VLOOKUP('Data Entry Form'!$BW60,tblSortedNameData,COLUMN(INDIRECT("tblData[[Given name]]"))-1,0),"")</f>
        <v/>
      </c>
      <c r="D55" s="244" t="str">
        <f ca="1">IFERROR(VLOOKUP('Data Entry Form'!$BW60,tblSortedNameData,COLUMN(INDIRECT("tblData[[Position]]"))-1,0),"")</f>
        <v/>
      </c>
      <c r="E55" s="245" t="str">
        <f ca="1">IFERROR(VLOOKUP('Data Entry Form'!$BW60,tblSortedNameData,COLUMN(INDIRECT("tblData[[Date of birth]]"))-1,0),"")</f>
        <v/>
      </c>
      <c r="F55" s="244" t="str">
        <f ca="1">IFERROR(VLOOKUP('Data Entry Form'!$BW60,tblSortedNameData,COLUMN(INDIRECT("tblData[[Place of Birth]]"))-1,0),"")</f>
        <v/>
      </c>
      <c r="G55" s="244" t="str">
        <f ca="1">IFERROR(VLOOKUP('Data Entry Form'!$BW60,tblSortedNameData,COLUMN(INDIRECT("tblData[[Nationality]]"))-1,0),"")</f>
        <v/>
      </c>
      <c r="H55" s="244" t="str">
        <f ca="1">IFERROR(VLOOKUP('Data Entry Form'!$BW60,tblSortedNameData,COLUMN(INDIRECT("tblData[[Passport Number]]"))-1,0),"")</f>
        <v/>
      </c>
      <c r="I55" s="245" t="str">
        <f ca="1">IFERROR(VLOOKUP('Data Entry Form'!$BW60,tblSortedNameData,COLUMN(INDIRECT("tblData[[Date of issue]]"))-1,0),"")</f>
        <v/>
      </c>
      <c r="J55" s="246" t="str">
        <f ca="1">IFERROR(VLOOKUP('Data Entry Form'!$BW60,tblSortedNameData,COLUMN(INDIRECT("tblData[[Date of expiry]]"))-1,0),"")</f>
        <v/>
      </c>
    </row>
    <row r="56" spans="1:10" s="112" customFormat="1" ht="15.95" customHeight="1">
      <c r="A56" s="243">
        <f t="shared" si="0"/>
        <v>48</v>
      </c>
      <c r="B56" s="244" t="str">
        <f ca="1">IFERROR(VLOOKUP('Data Entry Form'!$BW61,tblSortedNameData,COLUMN(INDIRECT("tblData[[Surname]]"))-1,0),"")</f>
        <v/>
      </c>
      <c r="C56" s="244" t="str">
        <f ca="1">IFERROR(VLOOKUP('Data Entry Form'!$BW61,tblSortedNameData,COLUMN(INDIRECT("tblData[[Given name]]"))-1,0),"")</f>
        <v/>
      </c>
      <c r="D56" s="244" t="str">
        <f ca="1">IFERROR(VLOOKUP('Data Entry Form'!$BW61,tblSortedNameData,COLUMN(INDIRECT("tblData[[Position]]"))-1,0),"")</f>
        <v/>
      </c>
      <c r="E56" s="245" t="str">
        <f ca="1">IFERROR(VLOOKUP('Data Entry Form'!$BW61,tblSortedNameData,COLUMN(INDIRECT("tblData[[Date of birth]]"))-1,0),"")</f>
        <v/>
      </c>
      <c r="F56" s="244" t="str">
        <f ca="1">IFERROR(VLOOKUP('Data Entry Form'!$BW61,tblSortedNameData,COLUMN(INDIRECT("tblData[[Place of Birth]]"))-1,0),"")</f>
        <v/>
      </c>
      <c r="G56" s="244" t="str">
        <f ca="1">IFERROR(VLOOKUP('Data Entry Form'!$BW61,tblSortedNameData,COLUMN(INDIRECT("tblData[[Nationality]]"))-1,0),"")</f>
        <v/>
      </c>
      <c r="H56" s="244" t="str">
        <f ca="1">IFERROR(VLOOKUP('Data Entry Form'!$BW61,tblSortedNameData,COLUMN(INDIRECT("tblData[[Passport Number]]"))-1,0),"")</f>
        <v/>
      </c>
      <c r="I56" s="245" t="str">
        <f ca="1">IFERROR(VLOOKUP('Data Entry Form'!$BW61,tblSortedNameData,COLUMN(INDIRECT("tblData[[Date of issue]]"))-1,0),"")</f>
        <v/>
      </c>
      <c r="J56" s="246" t="str">
        <f ca="1">IFERROR(VLOOKUP('Data Entry Form'!$BW61,tblSortedNameData,COLUMN(INDIRECT("tblData[[Date of expiry]]"))-1,0),"")</f>
        <v/>
      </c>
    </row>
    <row r="57" spans="1:10" s="112" customFormat="1" ht="15.95" customHeight="1">
      <c r="A57" s="243">
        <f t="shared" si="0"/>
        <v>49</v>
      </c>
      <c r="B57" s="244" t="str">
        <f ca="1">IFERROR(VLOOKUP('Data Entry Form'!$BW62,tblSortedNameData,COLUMN(INDIRECT("tblData[[Surname]]"))-1,0),"")</f>
        <v/>
      </c>
      <c r="C57" s="244" t="str">
        <f ca="1">IFERROR(VLOOKUP('Data Entry Form'!$BW62,tblSortedNameData,COLUMN(INDIRECT("tblData[[Given name]]"))-1,0),"")</f>
        <v/>
      </c>
      <c r="D57" s="244" t="str">
        <f ca="1">IFERROR(VLOOKUP('Data Entry Form'!$BW62,tblSortedNameData,COLUMN(INDIRECT("tblData[[Position]]"))-1,0),"")</f>
        <v/>
      </c>
      <c r="E57" s="245" t="str">
        <f ca="1">IFERROR(VLOOKUP('Data Entry Form'!$BW62,tblSortedNameData,COLUMN(INDIRECT("tblData[[Date of birth]]"))-1,0),"")</f>
        <v/>
      </c>
      <c r="F57" s="244" t="str">
        <f ca="1">IFERROR(VLOOKUP('Data Entry Form'!$BW62,tblSortedNameData,COLUMN(INDIRECT("tblData[[Place of Birth]]"))-1,0),"")</f>
        <v/>
      </c>
      <c r="G57" s="244" t="str">
        <f ca="1">IFERROR(VLOOKUP('Data Entry Form'!$BW62,tblSortedNameData,COLUMN(INDIRECT("tblData[[Nationality]]"))-1,0),"")</f>
        <v/>
      </c>
      <c r="H57" s="244" t="str">
        <f ca="1">IFERROR(VLOOKUP('Data Entry Form'!$BW62,tblSortedNameData,COLUMN(INDIRECT("tblData[[Passport Number]]"))-1,0),"")</f>
        <v/>
      </c>
      <c r="I57" s="245" t="str">
        <f ca="1">IFERROR(VLOOKUP('Data Entry Form'!$BW62,tblSortedNameData,COLUMN(INDIRECT("tblData[[Date of issue]]"))-1,0),"")</f>
        <v/>
      </c>
      <c r="J57" s="246" t="str">
        <f ca="1">IFERROR(VLOOKUP('Data Entry Form'!$BW62,tblSortedNameData,COLUMN(INDIRECT("tblData[[Date of expiry]]"))-1,0),"")</f>
        <v/>
      </c>
    </row>
    <row r="58" spans="1:10" s="112" customFormat="1" ht="15.95" customHeight="1">
      <c r="A58" s="243">
        <f t="shared" si="0"/>
        <v>50</v>
      </c>
      <c r="B58" s="244" t="str">
        <f ca="1">IFERROR(VLOOKUP('Data Entry Form'!$BW63,tblSortedNameData,COLUMN(INDIRECT("tblData[[Surname]]"))-1,0),"")</f>
        <v/>
      </c>
      <c r="C58" s="244" t="str">
        <f ca="1">IFERROR(VLOOKUP('Data Entry Form'!$BW63,tblSortedNameData,COLUMN(INDIRECT("tblData[[Given name]]"))-1,0),"")</f>
        <v/>
      </c>
      <c r="D58" s="244" t="str">
        <f ca="1">IFERROR(VLOOKUP('Data Entry Form'!$BW63,tblSortedNameData,COLUMN(INDIRECT("tblData[[Position]]"))-1,0),"")</f>
        <v/>
      </c>
      <c r="E58" s="245" t="str">
        <f ca="1">IFERROR(VLOOKUP('Data Entry Form'!$BW63,tblSortedNameData,COLUMN(INDIRECT("tblData[[Date of birth]]"))-1,0),"")</f>
        <v/>
      </c>
      <c r="F58" s="244" t="str">
        <f ca="1">IFERROR(VLOOKUP('Data Entry Form'!$BW63,tblSortedNameData,COLUMN(INDIRECT("tblData[[Place of Birth]]"))-1,0),"")</f>
        <v/>
      </c>
      <c r="G58" s="244" t="str">
        <f ca="1">IFERROR(VLOOKUP('Data Entry Form'!$BW63,tblSortedNameData,COLUMN(INDIRECT("tblData[[Nationality]]"))-1,0),"")</f>
        <v/>
      </c>
      <c r="H58" s="244" t="str">
        <f ca="1">IFERROR(VLOOKUP('Data Entry Form'!$BW63,tblSortedNameData,COLUMN(INDIRECT("tblData[[Passport Number]]"))-1,0),"")</f>
        <v/>
      </c>
      <c r="I58" s="245" t="str">
        <f ca="1">IFERROR(VLOOKUP('Data Entry Form'!$BW63,tblSortedNameData,COLUMN(INDIRECT("tblData[[Date of issue]]"))-1,0),"")</f>
        <v/>
      </c>
      <c r="J58" s="246" t="str">
        <f ca="1">IFERROR(VLOOKUP('Data Entry Form'!$BW63,tblSortedNameData,COLUMN(INDIRECT("tblData[[Date of expiry]]"))-1,0),"")</f>
        <v/>
      </c>
    </row>
    <row r="59" spans="1:10" s="112" customFormat="1" ht="15.95" customHeight="1">
      <c r="A59" s="243">
        <f t="shared" si="0"/>
        <v>51</v>
      </c>
      <c r="B59" s="244" t="str">
        <f ca="1">IFERROR(VLOOKUP('Data Entry Form'!$BW64,tblSortedNameData,COLUMN(INDIRECT("tblData[[Surname]]"))-1,0),"")</f>
        <v/>
      </c>
      <c r="C59" s="244" t="str">
        <f ca="1">IFERROR(VLOOKUP('Data Entry Form'!$BW64,tblSortedNameData,COLUMN(INDIRECT("tblData[[Given name]]"))-1,0),"")</f>
        <v/>
      </c>
      <c r="D59" s="244" t="str">
        <f ca="1">IFERROR(VLOOKUP('Data Entry Form'!$BW64,tblSortedNameData,COLUMN(INDIRECT("tblData[[Position]]"))-1,0),"")</f>
        <v/>
      </c>
      <c r="E59" s="245" t="str">
        <f ca="1">IFERROR(VLOOKUP('Data Entry Form'!$BW64,tblSortedNameData,COLUMN(INDIRECT("tblData[[Date of birth]]"))-1,0),"")</f>
        <v/>
      </c>
      <c r="F59" s="244" t="str">
        <f ca="1">IFERROR(VLOOKUP('Data Entry Form'!$BW64,tblSortedNameData,COLUMN(INDIRECT("tblData[[Place of Birth]]"))-1,0),"")</f>
        <v/>
      </c>
      <c r="G59" s="244" t="str">
        <f ca="1">IFERROR(VLOOKUP('Data Entry Form'!$BW64,tblSortedNameData,COLUMN(INDIRECT("tblData[[Nationality]]"))-1,0),"")</f>
        <v/>
      </c>
      <c r="H59" s="244" t="str">
        <f ca="1">IFERROR(VLOOKUP('Data Entry Form'!$BW64,tblSortedNameData,COLUMN(INDIRECT("tblData[[Passport Number]]"))-1,0),"")</f>
        <v/>
      </c>
      <c r="I59" s="245" t="str">
        <f ca="1">IFERROR(VLOOKUP('Data Entry Form'!$BW64,tblSortedNameData,COLUMN(INDIRECT("tblData[[Date of issue]]"))-1,0),"")</f>
        <v/>
      </c>
      <c r="J59" s="246" t="str">
        <f ca="1">IFERROR(VLOOKUP('Data Entry Form'!$BW64,tblSortedNameData,COLUMN(INDIRECT("tblData[[Date of expiry]]"))-1,0),"")</f>
        <v/>
      </c>
    </row>
    <row r="60" spans="1:10" s="112" customFormat="1" ht="15.95" customHeight="1">
      <c r="A60" s="243">
        <f t="shared" si="0"/>
        <v>52</v>
      </c>
      <c r="B60" s="244" t="str">
        <f ca="1">IFERROR(VLOOKUP('Data Entry Form'!$BW65,tblSortedNameData,COLUMN(INDIRECT("tblData[[Surname]]"))-1,0),"")</f>
        <v/>
      </c>
      <c r="C60" s="244" t="str">
        <f ca="1">IFERROR(VLOOKUP('Data Entry Form'!$BW65,tblSortedNameData,COLUMN(INDIRECT("tblData[[Given name]]"))-1,0),"")</f>
        <v/>
      </c>
      <c r="D60" s="244" t="str">
        <f ca="1">IFERROR(VLOOKUP('Data Entry Form'!$BW65,tblSortedNameData,COLUMN(INDIRECT("tblData[[Position]]"))-1,0),"")</f>
        <v/>
      </c>
      <c r="E60" s="245" t="str">
        <f ca="1">IFERROR(VLOOKUP('Data Entry Form'!$BW65,tblSortedNameData,COLUMN(INDIRECT("tblData[[Date of birth]]"))-1,0),"")</f>
        <v/>
      </c>
      <c r="F60" s="244" t="str">
        <f ca="1">IFERROR(VLOOKUP('Data Entry Form'!$BW65,tblSortedNameData,COLUMN(INDIRECT("tblData[[Place of Birth]]"))-1,0),"")</f>
        <v/>
      </c>
      <c r="G60" s="244" t="str">
        <f ca="1">IFERROR(VLOOKUP('Data Entry Form'!$BW65,tblSortedNameData,COLUMN(INDIRECT("tblData[[Nationality]]"))-1,0),"")</f>
        <v/>
      </c>
      <c r="H60" s="244" t="str">
        <f ca="1">IFERROR(VLOOKUP('Data Entry Form'!$BW65,tblSortedNameData,COLUMN(INDIRECT("tblData[[Passport Number]]"))-1,0),"")</f>
        <v/>
      </c>
      <c r="I60" s="245" t="str">
        <f ca="1">IFERROR(VLOOKUP('Data Entry Form'!$BW65,tblSortedNameData,COLUMN(INDIRECT("tblData[[Date of issue]]"))-1,0),"")</f>
        <v/>
      </c>
      <c r="J60" s="246" t="str">
        <f ca="1">IFERROR(VLOOKUP('Data Entry Form'!$BW65,tblSortedNameData,COLUMN(INDIRECT("tblData[[Date of expiry]]"))-1,0),"")</f>
        <v/>
      </c>
    </row>
    <row r="61" spans="1:10" s="112" customFormat="1" ht="15.95" customHeight="1">
      <c r="A61" s="243">
        <f t="shared" si="0"/>
        <v>53</v>
      </c>
      <c r="B61" s="244" t="str">
        <f ca="1">IFERROR(VLOOKUP('Data Entry Form'!$BW66,tblSortedNameData,COLUMN(INDIRECT("tblData[[Surname]]"))-1,0),"")</f>
        <v/>
      </c>
      <c r="C61" s="244" t="str">
        <f ca="1">IFERROR(VLOOKUP('Data Entry Form'!$BW66,tblSortedNameData,COLUMN(INDIRECT("tblData[[Given name]]"))-1,0),"")</f>
        <v/>
      </c>
      <c r="D61" s="244" t="str">
        <f ca="1">IFERROR(VLOOKUP('Data Entry Form'!$BW66,tblSortedNameData,COLUMN(INDIRECT("tblData[[Position]]"))-1,0),"")</f>
        <v/>
      </c>
      <c r="E61" s="245" t="str">
        <f ca="1">IFERROR(VLOOKUP('Data Entry Form'!$BW66,tblSortedNameData,COLUMN(INDIRECT("tblData[[Date of birth]]"))-1,0),"")</f>
        <v/>
      </c>
      <c r="F61" s="244" t="str">
        <f ca="1">IFERROR(VLOOKUP('Data Entry Form'!$BW66,tblSortedNameData,COLUMN(INDIRECT("tblData[[Place of Birth]]"))-1,0),"")</f>
        <v/>
      </c>
      <c r="G61" s="244" t="str">
        <f ca="1">IFERROR(VLOOKUP('Data Entry Form'!$BW66,tblSortedNameData,COLUMN(INDIRECT("tblData[[Nationality]]"))-1,0),"")</f>
        <v/>
      </c>
      <c r="H61" s="244" t="str">
        <f ca="1">IFERROR(VLOOKUP('Data Entry Form'!$BW66,tblSortedNameData,COLUMN(INDIRECT("tblData[[Passport Number]]"))-1,0),"")</f>
        <v/>
      </c>
      <c r="I61" s="245" t="str">
        <f ca="1">IFERROR(VLOOKUP('Data Entry Form'!$BW66,tblSortedNameData,COLUMN(INDIRECT("tblData[[Date of issue]]"))-1,0),"")</f>
        <v/>
      </c>
      <c r="J61" s="246" t="str">
        <f ca="1">IFERROR(VLOOKUP('Data Entry Form'!$BW66,tblSortedNameData,COLUMN(INDIRECT("tblData[[Date of expiry]]"))-1,0),"")</f>
        <v/>
      </c>
    </row>
    <row r="62" spans="1:10" s="112" customFormat="1" ht="15.95" customHeight="1">
      <c r="A62" s="243">
        <f t="shared" si="0"/>
        <v>54</v>
      </c>
      <c r="B62" s="244" t="str">
        <f ca="1">IFERROR(VLOOKUP('Data Entry Form'!$BW67,tblSortedNameData,COLUMN(INDIRECT("tblData[[Surname]]"))-1,0),"")</f>
        <v/>
      </c>
      <c r="C62" s="244" t="str">
        <f ca="1">IFERROR(VLOOKUP('Data Entry Form'!$BW67,tblSortedNameData,COLUMN(INDIRECT("tblData[[Given name]]"))-1,0),"")</f>
        <v/>
      </c>
      <c r="D62" s="244" t="str">
        <f ca="1">IFERROR(VLOOKUP('Data Entry Form'!$BW67,tblSortedNameData,COLUMN(INDIRECT("tblData[[Position]]"))-1,0),"")</f>
        <v/>
      </c>
      <c r="E62" s="245" t="str">
        <f ca="1">IFERROR(VLOOKUP('Data Entry Form'!$BW67,tblSortedNameData,COLUMN(INDIRECT("tblData[[Date of birth]]"))-1,0),"")</f>
        <v/>
      </c>
      <c r="F62" s="244" t="str">
        <f ca="1">IFERROR(VLOOKUP('Data Entry Form'!$BW67,tblSortedNameData,COLUMN(INDIRECT("tblData[[Place of Birth]]"))-1,0),"")</f>
        <v/>
      </c>
      <c r="G62" s="244" t="str">
        <f ca="1">IFERROR(VLOOKUP('Data Entry Form'!$BW67,tblSortedNameData,COLUMN(INDIRECT("tblData[[Nationality]]"))-1,0),"")</f>
        <v/>
      </c>
      <c r="H62" s="244" t="str">
        <f ca="1">IFERROR(VLOOKUP('Data Entry Form'!$BW67,tblSortedNameData,COLUMN(INDIRECT("tblData[[Passport Number]]"))-1,0),"")</f>
        <v/>
      </c>
      <c r="I62" s="245" t="str">
        <f ca="1">IFERROR(VLOOKUP('Data Entry Form'!$BW67,tblSortedNameData,COLUMN(INDIRECT("tblData[[Date of issue]]"))-1,0),"")</f>
        <v/>
      </c>
      <c r="J62" s="246" t="str">
        <f ca="1">IFERROR(VLOOKUP('Data Entry Form'!$BW67,tblSortedNameData,COLUMN(INDIRECT("tblData[[Date of expiry]]"))-1,0),"")</f>
        <v/>
      </c>
    </row>
    <row r="63" spans="1:10" s="112" customFormat="1" ht="15.95" customHeight="1">
      <c r="A63" s="243">
        <f t="shared" si="0"/>
        <v>55</v>
      </c>
      <c r="B63" s="244" t="str">
        <f ca="1">IFERROR(VLOOKUP('Data Entry Form'!$BW68,tblSortedNameData,COLUMN(INDIRECT("tblData[[Surname]]"))-1,0),"")</f>
        <v/>
      </c>
      <c r="C63" s="244" t="str">
        <f ca="1">IFERROR(VLOOKUP('Data Entry Form'!$BW68,tblSortedNameData,COLUMN(INDIRECT("tblData[[Given name]]"))-1,0),"")</f>
        <v/>
      </c>
      <c r="D63" s="244" t="str">
        <f ca="1">IFERROR(VLOOKUP('Data Entry Form'!$BW68,tblSortedNameData,COLUMN(INDIRECT("tblData[[Position]]"))-1,0),"")</f>
        <v/>
      </c>
      <c r="E63" s="245" t="str">
        <f ca="1">IFERROR(VLOOKUP('Data Entry Form'!$BW68,tblSortedNameData,COLUMN(INDIRECT("tblData[[Date of birth]]"))-1,0),"")</f>
        <v/>
      </c>
      <c r="F63" s="244" t="str">
        <f ca="1">IFERROR(VLOOKUP('Data Entry Form'!$BW68,tblSortedNameData,COLUMN(INDIRECT("tblData[[Place of Birth]]"))-1,0),"")</f>
        <v/>
      </c>
      <c r="G63" s="244" t="str">
        <f ca="1">IFERROR(VLOOKUP('Data Entry Form'!$BW68,tblSortedNameData,COLUMN(INDIRECT("tblData[[Nationality]]"))-1,0),"")</f>
        <v/>
      </c>
      <c r="H63" s="244" t="str">
        <f ca="1">IFERROR(VLOOKUP('Data Entry Form'!$BW68,tblSortedNameData,COLUMN(INDIRECT("tblData[[Passport Number]]"))-1,0),"")</f>
        <v/>
      </c>
      <c r="I63" s="245" t="str">
        <f ca="1">IFERROR(VLOOKUP('Data Entry Form'!$BW68,tblSortedNameData,COLUMN(INDIRECT("tblData[[Date of issue]]"))-1,0),"")</f>
        <v/>
      </c>
      <c r="J63" s="246" t="str">
        <f ca="1">IFERROR(VLOOKUP('Data Entry Form'!$BW68,tblSortedNameData,COLUMN(INDIRECT("tblData[[Date of expiry]]"))-1,0),"")</f>
        <v/>
      </c>
    </row>
    <row r="64" spans="1:10" s="112" customFormat="1" ht="15.95" customHeight="1">
      <c r="A64" s="243">
        <f t="shared" si="0"/>
        <v>56</v>
      </c>
      <c r="B64" s="244" t="str">
        <f ca="1">IFERROR(VLOOKUP('Data Entry Form'!$BW69,tblSortedNameData,COLUMN(INDIRECT("tblData[[Surname]]"))-1,0),"")</f>
        <v/>
      </c>
      <c r="C64" s="244" t="str">
        <f ca="1">IFERROR(VLOOKUP('Data Entry Form'!$BW69,tblSortedNameData,COLUMN(INDIRECT("tblData[[Given name]]"))-1,0),"")</f>
        <v/>
      </c>
      <c r="D64" s="244" t="str">
        <f ca="1">IFERROR(VLOOKUP('Data Entry Form'!$BW69,tblSortedNameData,COLUMN(INDIRECT("tblData[[Position]]"))-1,0),"")</f>
        <v/>
      </c>
      <c r="E64" s="245" t="str">
        <f ca="1">IFERROR(VLOOKUP('Data Entry Form'!$BW69,tblSortedNameData,COLUMN(INDIRECT("tblData[[Date of birth]]"))-1,0),"")</f>
        <v/>
      </c>
      <c r="F64" s="244" t="str">
        <f ca="1">IFERROR(VLOOKUP('Data Entry Form'!$BW69,tblSortedNameData,COLUMN(INDIRECT("tblData[[Place of Birth]]"))-1,0),"")</f>
        <v/>
      </c>
      <c r="G64" s="244" t="str">
        <f ca="1">IFERROR(VLOOKUP('Data Entry Form'!$BW69,tblSortedNameData,COLUMN(INDIRECT("tblData[[Nationality]]"))-1,0),"")</f>
        <v/>
      </c>
      <c r="H64" s="244" t="str">
        <f ca="1">IFERROR(VLOOKUP('Data Entry Form'!$BW69,tblSortedNameData,COLUMN(INDIRECT("tblData[[Passport Number]]"))-1,0),"")</f>
        <v/>
      </c>
      <c r="I64" s="245" t="str">
        <f ca="1">IFERROR(VLOOKUP('Data Entry Form'!$BW69,tblSortedNameData,COLUMN(INDIRECT("tblData[[Date of issue]]"))-1,0),"")</f>
        <v/>
      </c>
      <c r="J64" s="246" t="str">
        <f ca="1">IFERROR(VLOOKUP('Data Entry Form'!$BW69,tblSortedNameData,COLUMN(INDIRECT("tblData[[Date of expiry]]"))-1,0),"")</f>
        <v/>
      </c>
    </row>
    <row r="65" spans="1:10" s="112" customFormat="1" ht="15.95" customHeight="1">
      <c r="A65" s="243">
        <f t="shared" si="0"/>
        <v>57</v>
      </c>
      <c r="B65" s="244" t="str">
        <f ca="1">IFERROR(VLOOKUP('Data Entry Form'!$BW70,tblSortedNameData,COLUMN(INDIRECT("tblData[[Surname]]"))-1,0),"")</f>
        <v/>
      </c>
      <c r="C65" s="244" t="str">
        <f ca="1">IFERROR(VLOOKUP('Data Entry Form'!$BW70,tblSortedNameData,COLUMN(INDIRECT("tblData[[Given name]]"))-1,0),"")</f>
        <v/>
      </c>
      <c r="D65" s="244" t="str">
        <f ca="1">IFERROR(VLOOKUP('Data Entry Form'!$BW70,tblSortedNameData,COLUMN(INDIRECT("tblData[[Position]]"))-1,0),"")</f>
        <v/>
      </c>
      <c r="E65" s="245" t="str">
        <f ca="1">IFERROR(VLOOKUP('Data Entry Form'!$BW70,tblSortedNameData,COLUMN(INDIRECT("tblData[[Date of birth]]"))-1,0),"")</f>
        <v/>
      </c>
      <c r="F65" s="244" t="str">
        <f ca="1">IFERROR(VLOOKUP('Data Entry Form'!$BW70,tblSortedNameData,COLUMN(INDIRECT("tblData[[Place of Birth]]"))-1,0),"")</f>
        <v/>
      </c>
      <c r="G65" s="244" t="str">
        <f ca="1">IFERROR(VLOOKUP('Data Entry Form'!$BW70,tblSortedNameData,COLUMN(INDIRECT("tblData[[Nationality]]"))-1,0),"")</f>
        <v/>
      </c>
      <c r="H65" s="244" t="str">
        <f ca="1">IFERROR(VLOOKUP('Data Entry Form'!$BW70,tblSortedNameData,COLUMN(INDIRECT("tblData[[Passport Number]]"))-1,0),"")</f>
        <v/>
      </c>
      <c r="I65" s="245" t="str">
        <f ca="1">IFERROR(VLOOKUP('Data Entry Form'!$BW70,tblSortedNameData,COLUMN(INDIRECT("tblData[[Date of issue]]"))-1,0),"")</f>
        <v/>
      </c>
      <c r="J65" s="246" t="str">
        <f ca="1">IFERROR(VLOOKUP('Data Entry Form'!$BW70,tblSortedNameData,COLUMN(INDIRECT("tblData[[Date of expiry]]"))-1,0),"")</f>
        <v/>
      </c>
    </row>
    <row r="66" spans="1:10" s="112" customFormat="1" ht="15.95" customHeight="1">
      <c r="A66" s="243">
        <f t="shared" si="0"/>
        <v>58</v>
      </c>
      <c r="B66" s="244" t="str">
        <f ca="1">IFERROR(VLOOKUP('Data Entry Form'!$BW71,tblSortedNameData,COLUMN(INDIRECT("tblData[[Surname]]"))-1,0),"")</f>
        <v/>
      </c>
      <c r="C66" s="244" t="str">
        <f ca="1">IFERROR(VLOOKUP('Data Entry Form'!$BW71,tblSortedNameData,COLUMN(INDIRECT("tblData[[Given name]]"))-1,0),"")</f>
        <v/>
      </c>
      <c r="D66" s="244" t="str">
        <f ca="1">IFERROR(VLOOKUP('Data Entry Form'!$BW71,tblSortedNameData,COLUMN(INDIRECT("tblData[[Position]]"))-1,0),"")</f>
        <v/>
      </c>
      <c r="E66" s="245" t="str">
        <f ca="1">IFERROR(VLOOKUP('Data Entry Form'!$BW71,tblSortedNameData,COLUMN(INDIRECT("tblData[[Date of birth]]"))-1,0),"")</f>
        <v/>
      </c>
      <c r="F66" s="244" t="str">
        <f ca="1">IFERROR(VLOOKUP('Data Entry Form'!$BW71,tblSortedNameData,COLUMN(INDIRECT("tblData[[Place of Birth]]"))-1,0),"")</f>
        <v/>
      </c>
      <c r="G66" s="244" t="str">
        <f ca="1">IFERROR(VLOOKUP('Data Entry Form'!$BW71,tblSortedNameData,COLUMN(INDIRECT("tblData[[Nationality]]"))-1,0),"")</f>
        <v/>
      </c>
      <c r="H66" s="244" t="str">
        <f ca="1">IFERROR(VLOOKUP('Data Entry Form'!$BW71,tblSortedNameData,COLUMN(INDIRECT("tblData[[Passport Number]]"))-1,0),"")</f>
        <v/>
      </c>
      <c r="I66" s="245" t="str">
        <f ca="1">IFERROR(VLOOKUP('Data Entry Form'!$BW71,tblSortedNameData,COLUMN(INDIRECT("tblData[[Date of issue]]"))-1,0),"")</f>
        <v/>
      </c>
      <c r="J66" s="246" t="str">
        <f ca="1">IFERROR(VLOOKUP('Data Entry Form'!$BW71,tblSortedNameData,COLUMN(INDIRECT("tblData[[Date of expiry]]"))-1,0),"")</f>
        <v/>
      </c>
    </row>
    <row r="67" spans="1:10" s="112" customFormat="1" ht="15.95" customHeight="1">
      <c r="A67" s="243">
        <f t="shared" si="0"/>
        <v>59</v>
      </c>
      <c r="B67" s="244" t="str">
        <f ca="1">IFERROR(VLOOKUP('Data Entry Form'!$BW72,tblSortedNameData,COLUMN(INDIRECT("tblData[[Surname]]"))-1,0),"")</f>
        <v/>
      </c>
      <c r="C67" s="244" t="str">
        <f ca="1">IFERROR(VLOOKUP('Data Entry Form'!$BW72,tblSortedNameData,COLUMN(INDIRECT("tblData[[Given name]]"))-1,0),"")</f>
        <v/>
      </c>
      <c r="D67" s="244" t="str">
        <f ca="1">IFERROR(VLOOKUP('Data Entry Form'!$BW72,tblSortedNameData,COLUMN(INDIRECT("tblData[[Position]]"))-1,0),"")</f>
        <v/>
      </c>
      <c r="E67" s="245" t="str">
        <f ca="1">IFERROR(VLOOKUP('Data Entry Form'!$BW72,tblSortedNameData,COLUMN(INDIRECT("tblData[[Date of birth]]"))-1,0),"")</f>
        <v/>
      </c>
      <c r="F67" s="244" t="str">
        <f ca="1">IFERROR(VLOOKUP('Data Entry Form'!$BW72,tblSortedNameData,COLUMN(INDIRECT("tblData[[Place of Birth]]"))-1,0),"")</f>
        <v/>
      </c>
      <c r="G67" s="244" t="str">
        <f ca="1">IFERROR(VLOOKUP('Data Entry Form'!$BW72,tblSortedNameData,COLUMN(INDIRECT("tblData[[Nationality]]"))-1,0),"")</f>
        <v/>
      </c>
      <c r="H67" s="244" t="str">
        <f ca="1">IFERROR(VLOOKUP('Data Entry Form'!$BW72,tblSortedNameData,COLUMN(INDIRECT("tblData[[Passport Number]]"))-1,0),"")</f>
        <v/>
      </c>
      <c r="I67" s="245" t="str">
        <f ca="1">IFERROR(VLOOKUP('Data Entry Form'!$BW72,tblSortedNameData,COLUMN(INDIRECT("tblData[[Date of issue]]"))-1,0),"")</f>
        <v/>
      </c>
      <c r="J67" s="246" t="str">
        <f ca="1">IFERROR(VLOOKUP('Data Entry Form'!$BW72,tblSortedNameData,COLUMN(INDIRECT("tblData[[Date of expiry]]"))-1,0),"")</f>
        <v/>
      </c>
    </row>
    <row r="68" spans="1:10" s="112" customFormat="1" ht="15.95" customHeight="1" thickBot="1">
      <c r="A68" s="247">
        <f t="shared" si="0"/>
        <v>60</v>
      </c>
      <c r="B68" s="248" t="str">
        <f ca="1">IFERROR(VLOOKUP('Data Entry Form'!$BW73,tblSortedNameData,COLUMN(INDIRECT("tblData[[Surname]]"))-1,0),"")</f>
        <v/>
      </c>
      <c r="C68" s="248" t="str">
        <f ca="1">IFERROR(VLOOKUP('Data Entry Form'!$BW73,tblSortedNameData,COLUMN(INDIRECT("tblData[[Given name]]"))-1,0),"")</f>
        <v/>
      </c>
      <c r="D68" s="248" t="str">
        <f ca="1">IFERROR(VLOOKUP('Data Entry Form'!$BW73,tblSortedNameData,COLUMN(INDIRECT("tblData[[Position]]"))-1,0),"")</f>
        <v/>
      </c>
      <c r="E68" s="249" t="str">
        <f ca="1">IFERROR(VLOOKUP('Data Entry Form'!$BW73,tblSortedNameData,COLUMN(INDIRECT("tblData[[Date of birth]]"))-1,0),"")</f>
        <v/>
      </c>
      <c r="F68" s="248" t="str">
        <f ca="1">IFERROR(VLOOKUP('Data Entry Form'!$BW73,tblSortedNameData,COLUMN(INDIRECT("tblData[[Place of Birth]]"))-1,0),"")</f>
        <v/>
      </c>
      <c r="G68" s="248" t="str">
        <f ca="1">IFERROR(VLOOKUP('Data Entry Form'!$BW73,tblSortedNameData,COLUMN(INDIRECT("tblData[[Nationality]]"))-1,0),"")</f>
        <v/>
      </c>
      <c r="H68" s="248" t="str">
        <f ca="1">IFERROR(VLOOKUP('Data Entry Form'!$BW73,tblSortedNameData,COLUMN(INDIRECT("tblData[[Passport Number]]"))-1,0),"")</f>
        <v/>
      </c>
      <c r="I68" s="249" t="str">
        <f ca="1">IFERROR(VLOOKUP('Data Entry Form'!$BW73,tblSortedNameData,COLUMN(INDIRECT("tblData[[Date of issue]]"))-1,0),"")</f>
        <v/>
      </c>
      <c r="J68" s="250" t="str">
        <f ca="1">IFERROR(VLOOKUP('Data Entry Form'!$BW73,tblSortedNameData,COLUMN(INDIRECT("tblData[[Date of expiry]]"))-1,0),"")</f>
        <v/>
      </c>
    </row>
  </sheetData>
  <sheetProtection password="E8E9" sheet="1" objects="1" scenarios="1"/>
  <mergeCells count="5">
    <mergeCell ref="A6:C6"/>
    <mergeCell ref="D6:J6"/>
    <mergeCell ref="A1:J1"/>
    <mergeCell ref="A2:J2"/>
    <mergeCell ref="A4:J4"/>
  </mergeCells>
  <phoneticPr fontId="8" type="noConversion"/>
  <printOptions horizontalCentered="1"/>
  <pageMargins left="0.59" right="0.59" top="0.79000000000000015" bottom="0.78740157480314965" header="0.39370078740157483" footer="0.39370078740157483"/>
  <pageSetup paperSize="9" scale="79" fitToHeight="2" orientation="landscape" r:id="rId1"/>
  <headerFooter differentFirst="1">
    <oddHeader>&amp;C&amp;"Calibri,Fett"&amp;K145A99Visa Application Form</oddHeader>
    <oddFooter>&amp;C&amp;"Calibri,Standard"&amp;10&amp;K145A99Page &amp;P of &amp;N</oddFooter>
    <firstFooter>&amp;C&amp;"Calibri (Textkörper),Standard"&amp;10&amp;K145A99Page &amp;P of &amp;N</firstFooter>
  </headerFooter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Tabelle7"/>
  <dimension ref="A1:M89"/>
  <sheetViews>
    <sheetView showGridLines="0" zoomScaleNormal="100" workbookViewId="0">
      <selection activeCell="C5" sqref="C5"/>
    </sheetView>
  </sheetViews>
  <sheetFormatPr baseColWidth="10" defaultColWidth="10.875" defaultRowHeight="15.75"/>
  <cols>
    <col min="1" max="1" width="15" style="43" bestFit="1" customWidth="1"/>
    <col min="2" max="12" width="10.875" style="43"/>
    <col min="13" max="13" width="12" style="43" bestFit="1" customWidth="1"/>
    <col min="14" max="16384" width="10.875" style="43"/>
  </cols>
  <sheetData>
    <row r="1" spans="1:13">
      <c r="A1" s="566" t="s">
        <v>84</v>
      </c>
      <c r="B1" s="566"/>
      <c r="C1" s="592">
        <f>Federation</f>
        <v>0</v>
      </c>
      <c r="D1" s="592"/>
      <c r="E1" s="592"/>
      <c r="F1" s="592"/>
      <c r="H1" s="593" t="s">
        <v>194</v>
      </c>
      <c r="I1" s="593"/>
      <c r="J1" s="593"/>
      <c r="K1" s="593"/>
      <c r="L1" s="593"/>
    </row>
    <row r="2" spans="1:13">
      <c r="A2"/>
      <c r="B2"/>
      <c r="C2"/>
      <c r="D2"/>
      <c r="E2"/>
      <c r="F2"/>
      <c r="H2" s="44" t="s">
        <v>195</v>
      </c>
      <c r="I2" s="569"/>
      <c r="J2" s="569"/>
      <c r="K2" s="569"/>
      <c r="L2" s="569"/>
    </row>
    <row r="3" spans="1:13">
      <c r="A3" s="36"/>
      <c r="B3" s="36"/>
      <c r="C3" s="37"/>
      <c r="D3" s="37"/>
      <c r="E3" s="37"/>
      <c r="F3" s="37"/>
      <c r="H3" s="44" t="s">
        <v>196</v>
      </c>
      <c r="I3" s="569"/>
      <c r="J3" s="569"/>
      <c r="K3" s="569"/>
      <c r="L3" s="569"/>
    </row>
    <row r="4" spans="1:13">
      <c r="A4" s="566" t="s">
        <v>203</v>
      </c>
      <c r="B4" s="566"/>
      <c r="C4" s="35">
        <f>SelectedCategory</f>
        <v>0</v>
      </c>
      <c r="D4" s="567"/>
      <c r="E4" s="567"/>
      <c r="F4" s="568"/>
      <c r="H4" s="44" t="s">
        <v>197</v>
      </c>
      <c r="I4" s="569"/>
      <c r="J4" s="569"/>
      <c r="K4" s="569"/>
      <c r="L4" s="569"/>
    </row>
    <row r="5" spans="1:13">
      <c r="A5" s="566" t="s">
        <v>199</v>
      </c>
      <c r="B5" s="566"/>
      <c r="C5" s="77"/>
      <c r="D5" s="616" t="str">
        <f>IF(ISBLANK(AssignedCategory),"&lt;-- Bitte Kategorie zuweisen!","")</f>
        <v>&lt;-- Bitte Kategorie zuweisen!</v>
      </c>
      <c r="E5" s="617"/>
      <c r="F5" s="617"/>
    </row>
    <row r="6" spans="1:13">
      <c r="A6" s="566" t="s">
        <v>198</v>
      </c>
      <c r="B6" s="566"/>
      <c r="C6" s="569"/>
      <c r="D6" s="569"/>
      <c r="E6" s="569"/>
      <c r="F6" s="569"/>
    </row>
    <row r="7" spans="1:13" ht="16.5" thickBot="1"/>
    <row r="8" spans="1:13">
      <c r="A8" s="554" t="s">
        <v>202</v>
      </c>
      <c r="B8" s="555"/>
      <c r="C8" s="555"/>
      <c r="D8" s="555"/>
      <c r="E8" s="555"/>
      <c r="F8" s="555"/>
      <c r="G8" s="556"/>
      <c r="I8" s="594" t="s">
        <v>262</v>
      </c>
      <c r="J8" s="595"/>
      <c r="K8" s="595"/>
      <c r="L8" s="595"/>
      <c r="M8" s="596"/>
    </row>
    <row r="9" spans="1:13">
      <c r="A9" s="557" t="str">
        <f>IF(Comment=0,"",Comment)</f>
        <v/>
      </c>
      <c r="B9" s="558"/>
      <c r="C9" s="558"/>
      <c r="D9" s="558"/>
      <c r="E9" s="558"/>
      <c r="F9" s="558"/>
      <c r="G9" s="559"/>
      <c r="I9" s="619"/>
      <c r="J9" s="620"/>
      <c r="K9" s="620"/>
      <c r="L9" s="620"/>
      <c r="M9" s="621"/>
    </row>
    <row r="10" spans="1:13">
      <c r="A10" s="560"/>
      <c r="B10" s="561"/>
      <c r="C10" s="561"/>
      <c r="D10" s="561"/>
      <c r="E10" s="561"/>
      <c r="F10" s="561"/>
      <c r="G10" s="562"/>
      <c r="I10" s="619"/>
      <c r="J10" s="620"/>
      <c r="K10" s="620"/>
      <c r="L10" s="620"/>
      <c r="M10" s="621"/>
    </row>
    <row r="11" spans="1:13" ht="16.5" thickBot="1">
      <c r="A11" s="563"/>
      <c r="B11" s="564"/>
      <c r="C11" s="564"/>
      <c r="D11" s="564"/>
      <c r="E11" s="564"/>
      <c r="F11" s="564"/>
      <c r="G11" s="565"/>
      <c r="I11" s="622"/>
      <c r="J11" s="623"/>
      <c r="K11" s="623"/>
      <c r="L11" s="623"/>
      <c r="M11" s="624"/>
    </row>
    <row r="13" spans="1:13">
      <c r="A13" s="586" t="s">
        <v>251</v>
      </c>
      <c r="B13" s="587"/>
      <c r="C13" s="587"/>
      <c r="D13" s="587"/>
      <c r="E13" s="587"/>
      <c r="F13" s="587"/>
      <c r="G13" s="587"/>
      <c r="H13" s="587"/>
      <c r="I13" s="587"/>
      <c r="J13" s="587"/>
      <c r="K13" s="587"/>
      <c r="L13" s="587"/>
      <c r="M13" s="588"/>
    </row>
    <row r="14" spans="1:13">
      <c r="A14" s="45" t="s">
        <v>170</v>
      </c>
      <c r="B14" s="45" t="s">
        <v>172</v>
      </c>
      <c r="C14" s="426">
        <f>StartDate</f>
        <v>43249</v>
      </c>
      <c r="D14" s="426">
        <f>C14+1</f>
        <v>43250</v>
      </c>
      <c r="E14" s="426">
        <f t="shared" ref="E14:K14" si="0">D14+1</f>
        <v>43251</v>
      </c>
      <c r="F14" s="426">
        <f t="shared" si="0"/>
        <v>43252</v>
      </c>
      <c r="G14" s="426">
        <f t="shared" si="0"/>
        <v>43253</v>
      </c>
      <c r="H14" s="426">
        <f t="shared" si="0"/>
        <v>43254</v>
      </c>
      <c r="I14" s="426">
        <f t="shared" si="0"/>
        <v>43255</v>
      </c>
      <c r="J14" s="426">
        <f t="shared" si="0"/>
        <v>43256</v>
      </c>
      <c r="K14" s="426">
        <f t="shared" si="0"/>
        <v>43257</v>
      </c>
      <c r="L14" s="46" t="s">
        <v>171</v>
      </c>
      <c r="M14" s="46" t="s">
        <v>191</v>
      </c>
    </row>
    <row r="15" spans="1:13" hidden="1">
      <c r="A15" s="45" t="s">
        <v>170</v>
      </c>
      <c r="B15" s="45" t="s">
        <v>172</v>
      </c>
      <c r="C15" s="423" t="s">
        <v>288</v>
      </c>
      <c r="D15" s="423" t="s">
        <v>289</v>
      </c>
      <c r="E15" s="423" t="s">
        <v>290</v>
      </c>
      <c r="F15" s="423" t="s">
        <v>291</v>
      </c>
      <c r="G15" s="423" t="s">
        <v>292</v>
      </c>
      <c r="H15" s="423" t="s">
        <v>293</v>
      </c>
      <c r="I15" s="423" t="s">
        <v>294</v>
      </c>
      <c r="J15" s="423" t="s">
        <v>295</v>
      </c>
      <c r="K15" s="423" t="s">
        <v>296</v>
      </c>
      <c r="L15" s="46" t="s">
        <v>171</v>
      </c>
      <c r="M15" s="46" t="s">
        <v>191</v>
      </c>
    </row>
    <row r="16" spans="1:13">
      <c r="A16" s="47" t="s">
        <v>39</v>
      </c>
      <c r="B16" s="47" t="s">
        <v>142</v>
      </c>
      <c r="C16" s="128">
        <f ca="1">COUNTIFS(INDIRECT("tblData["&amp;C$15&amp;"]"),"="&amp;$A16&amp;"*",INDIRECT("tblData[Gender]"),$B16,INDIRECT("tblData[Surname]"),"=?*")</f>
        <v>0</v>
      </c>
      <c r="D16" s="128">
        <f t="shared" ref="D16:K21" ca="1" si="1">COUNTIFS(INDIRECT("tblData["&amp;D$15&amp;"]"),"="&amp;$A16&amp;"*",INDIRECT("tblData[Gender]"),$B16,INDIRECT("tblData[Surname]"),"=?*")</f>
        <v>0</v>
      </c>
      <c r="E16" s="128">
        <f t="shared" ca="1" si="1"/>
        <v>0</v>
      </c>
      <c r="F16" s="128">
        <f t="shared" ca="1" si="1"/>
        <v>0</v>
      </c>
      <c r="G16" s="128">
        <f t="shared" ca="1" si="1"/>
        <v>0</v>
      </c>
      <c r="H16" s="128">
        <f t="shared" ca="1" si="1"/>
        <v>0</v>
      </c>
      <c r="I16" s="128">
        <f t="shared" ca="1" si="1"/>
        <v>0</v>
      </c>
      <c r="J16" s="128">
        <f t="shared" ca="1" si="1"/>
        <v>0</v>
      </c>
      <c r="K16" s="128">
        <f t="shared" ca="1" si="1"/>
        <v>0</v>
      </c>
      <c r="L16" s="129">
        <f t="shared" ref="L16:L21" ca="1" si="2">SUM(C16:K16)</f>
        <v>0</v>
      </c>
      <c r="M16" s="132" t="s">
        <v>39</v>
      </c>
    </row>
    <row r="17" spans="1:13" ht="16.5" thickBot="1">
      <c r="A17" s="48" t="s">
        <v>39</v>
      </c>
      <c r="B17" s="48" t="s">
        <v>143</v>
      </c>
      <c r="C17" s="133">
        <f t="shared" ref="C17:C21" ca="1" si="3">COUNTIFS(INDIRECT("tblData["&amp;C$15&amp;"]"),"="&amp;$A17&amp;"*",INDIRECT("tblData[Gender]"),$B17,INDIRECT("tblData[Surname]"),"=?*")</f>
        <v>0</v>
      </c>
      <c r="D17" s="133">
        <f t="shared" ca="1" si="1"/>
        <v>0</v>
      </c>
      <c r="E17" s="133">
        <f t="shared" ca="1" si="1"/>
        <v>0</v>
      </c>
      <c r="F17" s="133">
        <f t="shared" ca="1" si="1"/>
        <v>0</v>
      </c>
      <c r="G17" s="133">
        <f t="shared" ca="1" si="1"/>
        <v>0</v>
      </c>
      <c r="H17" s="133">
        <f t="shared" ca="1" si="1"/>
        <v>0</v>
      </c>
      <c r="I17" s="133">
        <f t="shared" ca="1" si="1"/>
        <v>0</v>
      </c>
      <c r="J17" s="133">
        <f t="shared" ca="1" si="1"/>
        <v>0</v>
      </c>
      <c r="K17" s="133">
        <f t="shared" ca="1" si="1"/>
        <v>0</v>
      </c>
      <c r="L17" s="134">
        <f t="shared" ca="1" si="2"/>
        <v>0</v>
      </c>
      <c r="M17" s="135">
        <f ca="1">SUM(L16:L17)</f>
        <v>0</v>
      </c>
    </row>
    <row r="18" spans="1:13" ht="16.5" thickTop="1">
      <c r="A18" s="49" t="s">
        <v>40</v>
      </c>
      <c r="B18" s="49" t="s">
        <v>142</v>
      </c>
      <c r="C18" s="136">
        <f t="shared" ca="1" si="3"/>
        <v>0</v>
      </c>
      <c r="D18" s="136">
        <f t="shared" ca="1" si="1"/>
        <v>0</v>
      </c>
      <c r="E18" s="136">
        <f t="shared" ca="1" si="1"/>
        <v>0</v>
      </c>
      <c r="F18" s="136">
        <f t="shared" ca="1" si="1"/>
        <v>0</v>
      </c>
      <c r="G18" s="136">
        <f t="shared" ca="1" si="1"/>
        <v>0</v>
      </c>
      <c r="H18" s="136">
        <f t="shared" ca="1" si="1"/>
        <v>0</v>
      </c>
      <c r="I18" s="136">
        <f t="shared" ca="1" si="1"/>
        <v>0</v>
      </c>
      <c r="J18" s="136">
        <f t="shared" ca="1" si="1"/>
        <v>0</v>
      </c>
      <c r="K18" s="136">
        <f t="shared" ca="1" si="1"/>
        <v>0</v>
      </c>
      <c r="L18" s="137">
        <f t="shared" ca="1" si="2"/>
        <v>0</v>
      </c>
      <c r="M18" s="138" t="s">
        <v>40</v>
      </c>
    </row>
    <row r="19" spans="1:13" ht="16.5" thickBot="1">
      <c r="A19" s="48" t="s">
        <v>40</v>
      </c>
      <c r="B19" s="48" t="s">
        <v>143</v>
      </c>
      <c r="C19" s="133">
        <f t="shared" ca="1" si="3"/>
        <v>0</v>
      </c>
      <c r="D19" s="133">
        <f t="shared" ca="1" si="1"/>
        <v>0</v>
      </c>
      <c r="E19" s="133">
        <f t="shared" ca="1" si="1"/>
        <v>0</v>
      </c>
      <c r="F19" s="133">
        <f t="shared" ca="1" si="1"/>
        <v>0</v>
      </c>
      <c r="G19" s="133">
        <f t="shared" ca="1" si="1"/>
        <v>0</v>
      </c>
      <c r="H19" s="133">
        <f t="shared" ca="1" si="1"/>
        <v>0</v>
      </c>
      <c r="I19" s="133">
        <f t="shared" ca="1" si="1"/>
        <v>0</v>
      </c>
      <c r="J19" s="133">
        <f t="shared" ca="1" si="1"/>
        <v>0</v>
      </c>
      <c r="K19" s="133">
        <f t="shared" ca="1" si="1"/>
        <v>0</v>
      </c>
      <c r="L19" s="134">
        <f t="shared" ca="1" si="2"/>
        <v>0</v>
      </c>
      <c r="M19" s="135">
        <f ca="1">SUM(L18:L19)</f>
        <v>0</v>
      </c>
    </row>
    <row r="20" spans="1:13" ht="16.5" thickTop="1">
      <c r="A20" s="49" t="s">
        <v>41</v>
      </c>
      <c r="B20" s="49" t="s">
        <v>142</v>
      </c>
      <c r="C20" s="136">
        <f t="shared" ca="1" si="3"/>
        <v>0</v>
      </c>
      <c r="D20" s="136">
        <f t="shared" ca="1" si="1"/>
        <v>0</v>
      </c>
      <c r="E20" s="136">
        <f t="shared" ca="1" si="1"/>
        <v>0</v>
      </c>
      <c r="F20" s="136">
        <f t="shared" ca="1" si="1"/>
        <v>0</v>
      </c>
      <c r="G20" s="136">
        <f t="shared" ca="1" si="1"/>
        <v>0</v>
      </c>
      <c r="H20" s="136">
        <f t="shared" ca="1" si="1"/>
        <v>0</v>
      </c>
      <c r="I20" s="136">
        <f t="shared" ca="1" si="1"/>
        <v>0</v>
      </c>
      <c r="J20" s="136">
        <f t="shared" ca="1" si="1"/>
        <v>0</v>
      </c>
      <c r="K20" s="136">
        <f t="shared" ca="1" si="1"/>
        <v>0</v>
      </c>
      <c r="L20" s="137">
        <f t="shared" ca="1" si="2"/>
        <v>0</v>
      </c>
      <c r="M20" s="138" t="s">
        <v>41</v>
      </c>
    </row>
    <row r="21" spans="1:13" ht="16.5" thickBot="1">
      <c r="A21" s="50" t="s">
        <v>41</v>
      </c>
      <c r="B21" s="50" t="s">
        <v>143</v>
      </c>
      <c r="C21" s="139">
        <f t="shared" ca="1" si="3"/>
        <v>0</v>
      </c>
      <c r="D21" s="139">
        <f t="shared" ca="1" si="1"/>
        <v>0</v>
      </c>
      <c r="E21" s="139">
        <f t="shared" ca="1" si="1"/>
        <v>0</v>
      </c>
      <c r="F21" s="139">
        <f t="shared" ca="1" si="1"/>
        <v>0</v>
      </c>
      <c r="G21" s="139">
        <f t="shared" ca="1" si="1"/>
        <v>0</v>
      </c>
      <c r="H21" s="139">
        <f t="shared" ca="1" si="1"/>
        <v>0</v>
      </c>
      <c r="I21" s="139">
        <f t="shared" ca="1" si="1"/>
        <v>0</v>
      </c>
      <c r="J21" s="139">
        <f t="shared" ca="1" si="1"/>
        <v>0</v>
      </c>
      <c r="K21" s="139">
        <f t="shared" ca="1" si="1"/>
        <v>0</v>
      </c>
      <c r="L21" s="140">
        <f t="shared" ca="1" si="2"/>
        <v>0</v>
      </c>
      <c r="M21" s="141">
        <f ca="1">SUM(L20:L21)</f>
        <v>0</v>
      </c>
    </row>
    <row r="22" spans="1:13" ht="16.5" thickTop="1">
      <c r="A22" s="574" t="s">
        <v>171</v>
      </c>
      <c r="B22" s="575"/>
      <c r="C22" s="142">
        <f t="shared" ref="C22:K22" ca="1" si="4">SUM(C16:C21)</f>
        <v>0</v>
      </c>
      <c r="D22" s="142">
        <f t="shared" ca="1" si="4"/>
        <v>0</v>
      </c>
      <c r="E22" s="142">
        <f t="shared" ca="1" si="4"/>
        <v>0</v>
      </c>
      <c r="F22" s="142">
        <f t="shared" ca="1" si="4"/>
        <v>0</v>
      </c>
      <c r="G22" s="142">
        <f t="shared" ca="1" si="4"/>
        <v>0</v>
      </c>
      <c r="H22" s="142">
        <f t="shared" ca="1" si="4"/>
        <v>0</v>
      </c>
      <c r="I22" s="142">
        <f t="shared" ca="1" si="4"/>
        <v>0</v>
      </c>
      <c r="J22" s="142">
        <f ca="1">SUM(J16:J21)</f>
        <v>0</v>
      </c>
      <c r="K22" s="142">
        <f t="shared" ca="1" si="4"/>
        <v>0</v>
      </c>
      <c r="L22" s="142">
        <f ca="1">SUM(C22:K22)</f>
        <v>0</v>
      </c>
      <c r="M22" s="143"/>
    </row>
    <row r="25" spans="1:13">
      <c r="A25" s="589" t="s">
        <v>173</v>
      </c>
      <c r="B25" s="589"/>
      <c r="C25" s="589"/>
      <c r="D25" s="589"/>
      <c r="E25" s="589"/>
      <c r="F25" s="589"/>
      <c r="G25" s="589"/>
      <c r="H25" s="589"/>
      <c r="I25" s="589"/>
      <c r="J25" s="589"/>
      <c r="K25" s="589"/>
      <c r="L25" s="589"/>
    </row>
    <row r="26" spans="1:13">
      <c r="A26" s="590"/>
      <c r="B26" s="591"/>
      <c r="C26" s="427">
        <f>StartDate</f>
        <v>43249</v>
      </c>
      <c r="D26" s="427">
        <f>C26+1</f>
        <v>43250</v>
      </c>
      <c r="E26" s="427">
        <f t="shared" ref="E26:K26" si="5">D26+1</f>
        <v>43251</v>
      </c>
      <c r="F26" s="427">
        <f t="shared" si="5"/>
        <v>43252</v>
      </c>
      <c r="G26" s="427">
        <f t="shared" si="5"/>
        <v>43253</v>
      </c>
      <c r="H26" s="427">
        <f t="shared" si="5"/>
        <v>43254</v>
      </c>
      <c r="I26" s="427">
        <f t="shared" si="5"/>
        <v>43255</v>
      </c>
      <c r="J26" s="427">
        <f t="shared" si="5"/>
        <v>43256</v>
      </c>
      <c r="K26" s="427">
        <f t="shared" si="5"/>
        <v>43257</v>
      </c>
      <c r="L26" s="51" t="s">
        <v>171</v>
      </c>
    </row>
    <row r="27" spans="1:13" hidden="1">
      <c r="A27" s="590"/>
      <c r="B27" s="591"/>
      <c r="C27" s="424" t="s">
        <v>288</v>
      </c>
      <c r="D27" s="424" t="s">
        <v>289</v>
      </c>
      <c r="E27" s="424" t="s">
        <v>290</v>
      </c>
      <c r="F27" s="424" t="s">
        <v>291</v>
      </c>
      <c r="G27" s="424" t="s">
        <v>292</v>
      </c>
      <c r="H27" s="424" t="s">
        <v>293</v>
      </c>
      <c r="I27" s="424" t="s">
        <v>294</v>
      </c>
      <c r="J27" s="424" t="s">
        <v>295</v>
      </c>
      <c r="K27" s="424" t="s">
        <v>296</v>
      </c>
      <c r="L27" s="51" t="s">
        <v>171</v>
      </c>
    </row>
    <row r="28" spans="1:13" ht="16.5" thickBot="1">
      <c r="A28" s="580" t="s">
        <v>48</v>
      </c>
      <c r="B28" s="581"/>
      <c r="C28" s="133">
        <f ca="1">COUNTIFS(INDIRECT("tblData["&amp;C$27&amp;"]"),"=*/ "&amp;$A28,INDIRECT("tblData[Surname]"),"=?*")</f>
        <v>0</v>
      </c>
      <c r="D28" s="133">
        <f t="shared" ref="D28:K28" ca="1" si="6">COUNTIFS(INDIRECT("tblData["&amp;D$27&amp;"]"),"=*/ "&amp;$A28,INDIRECT("tblData[Surname]"),"=?*")</f>
        <v>0</v>
      </c>
      <c r="E28" s="133">
        <f t="shared" ca="1" si="6"/>
        <v>0</v>
      </c>
      <c r="F28" s="133">
        <f t="shared" ca="1" si="6"/>
        <v>0</v>
      </c>
      <c r="G28" s="133">
        <f t="shared" ca="1" si="6"/>
        <v>0</v>
      </c>
      <c r="H28" s="133">
        <f t="shared" ca="1" si="6"/>
        <v>0</v>
      </c>
      <c r="I28" s="133">
        <f t="shared" ca="1" si="6"/>
        <v>0</v>
      </c>
      <c r="J28" s="133">
        <f t="shared" ca="1" si="6"/>
        <v>0</v>
      </c>
      <c r="K28" s="133">
        <f t="shared" ca="1" si="6"/>
        <v>0</v>
      </c>
      <c r="L28" s="134">
        <f ca="1">SUM(C28:K28)</f>
        <v>0</v>
      </c>
    </row>
    <row r="29" spans="1:13" ht="16.5" thickTop="1">
      <c r="A29" s="582" t="s">
        <v>49</v>
      </c>
      <c r="B29" s="583"/>
      <c r="C29" s="136">
        <f t="shared" ref="C29:K30" ca="1" si="7">COUNTIFS(INDIRECT("tblData["&amp;C$27&amp;"]"),"=*/ "&amp;$A29,INDIRECT("tblData[Surname]"),"=?*")</f>
        <v>0</v>
      </c>
      <c r="D29" s="136">
        <f t="shared" ca="1" si="7"/>
        <v>0</v>
      </c>
      <c r="E29" s="136">
        <f t="shared" ca="1" si="7"/>
        <v>0</v>
      </c>
      <c r="F29" s="136">
        <f t="shared" ca="1" si="7"/>
        <v>0</v>
      </c>
      <c r="G29" s="136">
        <f t="shared" ca="1" si="7"/>
        <v>0</v>
      </c>
      <c r="H29" s="136">
        <f t="shared" ca="1" si="7"/>
        <v>0</v>
      </c>
      <c r="I29" s="136">
        <f t="shared" ca="1" si="7"/>
        <v>0</v>
      </c>
      <c r="J29" s="136">
        <f t="shared" ca="1" si="7"/>
        <v>0</v>
      </c>
      <c r="K29" s="136">
        <f t="shared" ca="1" si="7"/>
        <v>0</v>
      </c>
      <c r="L29" s="137">
        <f t="shared" ref="L29:L30" ca="1" si="8">SUM(C29:K29)</f>
        <v>0</v>
      </c>
    </row>
    <row r="30" spans="1:13" ht="16.5" thickBot="1">
      <c r="A30" s="584" t="s">
        <v>50</v>
      </c>
      <c r="B30" s="585"/>
      <c r="C30" s="139">
        <f t="shared" ca="1" si="7"/>
        <v>0</v>
      </c>
      <c r="D30" s="139">
        <f t="shared" ca="1" si="7"/>
        <v>0</v>
      </c>
      <c r="E30" s="139">
        <f t="shared" ca="1" si="7"/>
        <v>0</v>
      </c>
      <c r="F30" s="139">
        <f t="shared" ca="1" si="7"/>
        <v>0</v>
      </c>
      <c r="G30" s="139">
        <f t="shared" ca="1" si="7"/>
        <v>0</v>
      </c>
      <c r="H30" s="139">
        <f t="shared" ca="1" si="7"/>
        <v>0</v>
      </c>
      <c r="I30" s="139">
        <f t="shared" ca="1" si="7"/>
        <v>0</v>
      </c>
      <c r="J30" s="139">
        <f t="shared" ca="1" si="7"/>
        <v>0</v>
      </c>
      <c r="K30" s="139">
        <f t="shared" ca="1" si="7"/>
        <v>0</v>
      </c>
      <c r="L30" s="140">
        <f t="shared" ca="1" si="8"/>
        <v>0</v>
      </c>
    </row>
    <row r="31" spans="1:13" ht="16.5" thickTop="1">
      <c r="A31" s="574" t="s">
        <v>171</v>
      </c>
      <c r="B31" s="575"/>
      <c r="C31" s="142">
        <f ca="1">SUM(C28:C30)</f>
        <v>0</v>
      </c>
      <c r="D31" s="142">
        <f t="shared" ref="D31:L31" ca="1" si="9">SUM(D28:D30)</f>
        <v>0</v>
      </c>
      <c r="E31" s="142">
        <f t="shared" ca="1" si="9"/>
        <v>0</v>
      </c>
      <c r="F31" s="142">
        <f t="shared" ca="1" si="9"/>
        <v>0</v>
      </c>
      <c r="G31" s="142">
        <f t="shared" ca="1" si="9"/>
        <v>0</v>
      </c>
      <c r="H31" s="142">
        <f t="shared" ca="1" si="9"/>
        <v>0</v>
      </c>
      <c r="I31" s="142">
        <f t="shared" ca="1" si="9"/>
        <v>0</v>
      </c>
      <c r="J31" s="142">
        <f t="shared" ca="1" si="9"/>
        <v>0</v>
      </c>
      <c r="K31" s="142">
        <f t="shared" ca="1" si="9"/>
        <v>0</v>
      </c>
      <c r="L31" s="142">
        <f t="shared" ca="1" si="9"/>
        <v>0</v>
      </c>
    </row>
    <row r="33" spans="1:13">
      <c r="A33" s="576" t="s">
        <v>174</v>
      </c>
      <c r="B33" s="576"/>
      <c r="C33" s="576"/>
      <c r="D33" s="576"/>
      <c r="E33" s="576"/>
      <c r="F33" s="576"/>
      <c r="G33" s="576"/>
      <c r="H33" s="576"/>
      <c r="I33" s="576"/>
      <c r="J33" s="576"/>
      <c r="K33" s="576"/>
      <c r="L33" s="576"/>
    </row>
    <row r="34" spans="1:13">
      <c r="A34" s="577"/>
      <c r="B34" s="578"/>
      <c r="C34" s="427">
        <f>StartDate</f>
        <v>43249</v>
      </c>
      <c r="D34" s="427">
        <f>C34+1</f>
        <v>43250</v>
      </c>
      <c r="E34" s="427">
        <f t="shared" ref="E34:K34" si="10">D34+1</f>
        <v>43251</v>
      </c>
      <c r="F34" s="427">
        <f t="shared" si="10"/>
        <v>43252</v>
      </c>
      <c r="G34" s="427">
        <f t="shared" si="10"/>
        <v>43253</v>
      </c>
      <c r="H34" s="427">
        <f t="shared" si="10"/>
        <v>43254</v>
      </c>
      <c r="I34" s="427">
        <f t="shared" si="10"/>
        <v>43255</v>
      </c>
      <c r="J34" s="427">
        <f t="shared" si="10"/>
        <v>43256</v>
      </c>
      <c r="K34" s="427">
        <f t="shared" si="10"/>
        <v>43257</v>
      </c>
      <c r="L34" s="52" t="s">
        <v>171</v>
      </c>
    </row>
    <row r="35" spans="1:13" hidden="1">
      <c r="A35" s="577"/>
      <c r="B35" s="578"/>
      <c r="C35" s="425" t="s">
        <v>288</v>
      </c>
      <c r="D35" s="425" t="s">
        <v>289</v>
      </c>
      <c r="E35" s="425" t="s">
        <v>290</v>
      </c>
      <c r="F35" s="425" t="s">
        <v>291</v>
      </c>
      <c r="G35" s="425" t="s">
        <v>292</v>
      </c>
      <c r="H35" s="425" t="s">
        <v>293</v>
      </c>
      <c r="I35" s="425" t="s">
        <v>294</v>
      </c>
      <c r="J35" s="425" t="s">
        <v>295</v>
      </c>
      <c r="K35" s="425" t="s">
        <v>296</v>
      </c>
      <c r="L35" s="52" t="s">
        <v>171</v>
      </c>
    </row>
    <row r="36" spans="1:13">
      <c r="A36" s="570" t="s">
        <v>175</v>
      </c>
      <c r="B36" s="571"/>
      <c r="C36" s="130">
        <f ca="1">C30</f>
        <v>0</v>
      </c>
      <c r="D36" s="130">
        <f t="shared" ref="D36:K36" ca="1" si="11">D30</f>
        <v>0</v>
      </c>
      <c r="E36" s="130">
        <f t="shared" ca="1" si="11"/>
        <v>0</v>
      </c>
      <c r="F36" s="130">
        <f t="shared" ca="1" si="11"/>
        <v>0</v>
      </c>
      <c r="G36" s="130">
        <f t="shared" ca="1" si="11"/>
        <v>0</v>
      </c>
      <c r="H36" s="130">
        <f t="shared" ca="1" si="11"/>
        <v>0</v>
      </c>
      <c r="I36" s="130">
        <f t="shared" ca="1" si="11"/>
        <v>0</v>
      </c>
      <c r="J36" s="130">
        <f t="shared" ca="1" si="11"/>
        <v>0</v>
      </c>
      <c r="K36" s="130">
        <f t="shared" ca="1" si="11"/>
        <v>0</v>
      </c>
      <c r="L36" s="131">
        <f t="shared" ref="L36:L37" ca="1" si="12">SUM(C36:K36)</f>
        <v>0</v>
      </c>
    </row>
    <row r="37" spans="1:13">
      <c r="A37" s="570" t="s">
        <v>176</v>
      </c>
      <c r="B37" s="571"/>
      <c r="C37" s="130">
        <f ca="1">C29+C30</f>
        <v>0</v>
      </c>
      <c r="D37" s="130">
        <f t="shared" ref="D37:K37" ca="1" si="13">D29+D30</f>
        <v>0</v>
      </c>
      <c r="E37" s="130">
        <f t="shared" ca="1" si="13"/>
        <v>0</v>
      </c>
      <c r="F37" s="130">
        <f t="shared" ca="1" si="13"/>
        <v>0</v>
      </c>
      <c r="G37" s="130">
        <f t="shared" ca="1" si="13"/>
        <v>0</v>
      </c>
      <c r="H37" s="130">
        <f t="shared" ca="1" si="13"/>
        <v>0</v>
      </c>
      <c r="I37" s="130">
        <f t="shared" ca="1" si="13"/>
        <v>0</v>
      </c>
      <c r="J37" s="130">
        <f t="shared" ca="1" si="13"/>
        <v>0</v>
      </c>
      <c r="K37" s="130">
        <f t="shared" ca="1" si="13"/>
        <v>0</v>
      </c>
      <c r="L37" s="131">
        <f t="shared" ca="1" si="12"/>
        <v>0</v>
      </c>
    </row>
    <row r="38" spans="1:13">
      <c r="A38" s="572" t="s">
        <v>171</v>
      </c>
      <c r="B38" s="573"/>
      <c r="C38" s="131">
        <f t="shared" ref="C38:L38" ca="1" si="14">SUM(C36:C37)</f>
        <v>0</v>
      </c>
      <c r="D38" s="131">
        <f t="shared" ca="1" si="14"/>
        <v>0</v>
      </c>
      <c r="E38" s="131">
        <f t="shared" ca="1" si="14"/>
        <v>0</v>
      </c>
      <c r="F38" s="131">
        <f t="shared" ca="1" si="14"/>
        <v>0</v>
      </c>
      <c r="G38" s="131">
        <f t="shared" ca="1" si="14"/>
        <v>0</v>
      </c>
      <c r="H38" s="131">
        <f t="shared" ca="1" si="14"/>
        <v>0</v>
      </c>
      <c r="I38" s="131">
        <f t="shared" ca="1" si="14"/>
        <v>0</v>
      </c>
      <c r="J38" s="131">
        <f t="shared" ca="1" si="14"/>
        <v>0</v>
      </c>
      <c r="K38" s="131">
        <f t="shared" ca="1" si="14"/>
        <v>0</v>
      </c>
      <c r="L38" s="131">
        <f t="shared" ca="1" si="14"/>
        <v>0</v>
      </c>
    </row>
    <row r="41" spans="1:13">
      <c r="A41" s="579" t="s">
        <v>177</v>
      </c>
      <c r="B41" s="579"/>
      <c r="C41" s="579"/>
      <c r="D41" s="579"/>
      <c r="E41" s="579"/>
      <c r="F41" s="579"/>
      <c r="G41" s="579"/>
      <c r="H41" s="579"/>
      <c r="I41" s="579"/>
      <c r="J41" s="579"/>
      <c r="K41" s="579"/>
      <c r="L41" s="579"/>
      <c r="M41" s="579"/>
    </row>
    <row r="42" spans="1:13">
      <c r="A42" s="632"/>
      <c r="B42" s="633"/>
      <c r="C42" s="53">
        <f>StartDate</f>
        <v>43249</v>
      </c>
      <c r="D42" s="53">
        <f>C42+1</f>
        <v>43250</v>
      </c>
      <c r="E42" s="53">
        <f t="shared" ref="E42:L42" si="15">D42+1</f>
        <v>43251</v>
      </c>
      <c r="F42" s="53">
        <f t="shared" si="15"/>
        <v>43252</v>
      </c>
      <c r="G42" s="53">
        <f t="shared" si="15"/>
        <v>43253</v>
      </c>
      <c r="H42" s="53">
        <f t="shared" si="15"/>
        <v>43254</v>
      </c>
      <c r="I42" s="53">
        <f t="shared" si="15"/>
        <v>43255</v>
      </c>
      <c r="J42" s="53">
        <f t="shared" si="15"/>
        <v>43256</v>
      </c>
      <c r="K42" s="53">
        <f t="shared" si="15"/>
        <v>43257</v>
      </c>
      <c r="L42" s="53">
        <f t="shared" si="15"/>
        <v>43258</v>
      </c>
      <c r="M42" s="54" t="s">
        <v>171</v>
      </c>
    </row>
    <row r="43" spans="1:13">
      <c r="A43" s="598" t="str">
        <f>Parameters!Q3</f>
        <v>Graz Airport</v>
      </c>
      <c r="B43" s="603"/>
      <c r="C43" s="128">
        <f ca="1">COUNTIFS(INDIRECT("tblData[Arr To]"),$A43,INDIRECT("tblData[Arr Date]"),C$42,INDIRECT("tblData[ShuttleAtArrival]"),"YES")</f>
        <v>0</v>
      </c>
      <c r="D43" s="128">
        <f t="shared" ref="D43:L43" ca="1" si="16">COUNTIFS(INDIRECT("tblData[Arr To]"),$A43,INDIRECT("tblData[Arr Date]"),D$42,INDIRECT("tblData[ShuttleAtArrival]"),"YES")</f>
        <v>0</v>
      </c>
      <c r="E43" s="128">
        <f t="shared" ca="1" si="16"/>
        <v>0</v>
      </c>
      <c r="F43" s="128">
        <f t="shared" ca="1" si="16"/>
        <v>0</v>
      </c>
      <c r="G43" s="128">
        <f t="shared" ca="1" si="16"/>
        <v>0</v>
      </c>
      <c r="H43" s="128">
        <f t="shared" ca="1" si="16"/>
        <v>0</v>
      </c>
      <c r="I43" s="128">
        <f t="shared" ca="1" si="16"/>
        <v>0</v>
      </c>
      <c r="J43" s="128">
        <f t="shared" ca="1" si="16"/>
        <v>0</v>
      </c>
      <c r="K43" s="128">
        <f t="shared" ca="1" si="16"/>
        <v>0</v>
      </c>
      <c r="L43" s="128">
        <f t="shared" ca="1" si="16"/>
        <v>0</v>
      </c>
      <c r="M43" s="129">
        <f ca="1">SUM(C43:L43)</f>
        <v>0</v>
      </c>
    </row>
    <row r="44" spans="1:13">
      <c r="A44" s="598" t="str">
        <f>Parameters!Q4</f>
        <v>Graz Trainstation</v>
      </c>
      <c r="B44" s="603"/>
      <c r="C44" s="128">
        <f t="shared" ref="C44:L46" ca="1" si="17">COUNTIFS(INDIRECT("tblData[Arr To]"),$A44,INDIRECT("tblData[Arr Date]"),C$42,INDIRECT("tblData[ShuttleAtArrival]"),"YES")</f>
        <v>0</v>
      </c>
      <c r="D44" s="128">
        <f t="shared" ca="1" si="17"/>
        <v>0</v>
      </c>
      <c r="E44" s="128">
        <f t="shared" ca="1" si="17"/>
        <v>0</v>
      </c>
      <c r="F44" s="128">
        <f t="shared" ca="1" si="17"/>
        <v>0</v>
      </c>
      <c r="G44" s="128">
        <f t="shared" ca="1" si="17"/>
        <v>0</v>
      </c>
      <c r="H44" s="128">
        <f t="shared" ca="1" si="17"/>
        <v>0</v>
      </c>
      <c r="I44" s="128">
        <f t="shared" ca="1" si="17"/>
        <v>0</v>
      </c>
      <c r="J44" s="128">
        <f t="shared" ca="1" si="17"/>
        <v>0</v>
      </c>
      <c r="K44" s="128">
        <f t="shared" ca="1" si="17"/>
        <v>0</v>
      </c>
      <c r="L44" s="128">
        <f t="shared" ca="1" si="17"/>
        <v>0</v>
      </c>
      <c r="M44" s="129">
        <f t="shared" ref="M44:M45" ca="1" si="18">SUM(C44:L44)</f>
        <v>0</v>
      </c>
    </row>
    <row r="45" spans="1:13">
      <c r="A45" s="598" t="str">
        <f>Parameters!Q5</f>
        <v>Vienna Airport</v>
      </c>
      <c r="B45" s="603"/>
      <c r="C45" s="128">
        <f t="shared" ca="1" si="17"/>
        <v>0</v>
      </c>
      <c r="D45" s="128">
        <f t="shared" ca="1" si="17"/>
        <v>0</v>
      </c>
      <c r="E45" s="128">
        <f t="shared" ca="1" si="17"/>
        <v>0</v>
      </c>
      <c r="F45" s="128">
        <f t="shared" ca="1" si="17"/>
        <v>0</v>
      </c>
      <c r="G45" s="128">
        <f t="shared" ca="1" si="17"/>
        <v>0</v>
      </c>
      <c r="H45" s="128">
        <f t="shared" ca="1" si="17"/>
        <v>0</v>
      </c>
      <c r="I45" s="128">
        <f t="shared" ca="1" si="17"/>
        <v>0</v>
      </c>
      <c r="J45" s="128">
        <f t="shared" ca="1" si="17"/>
        <v>0</v>
      </c>
      <c r="K45" s="128">
        <f t="shared" ca="1" si="17"/>
        <v>0</v>
      </c>
      <c r="L45" s="128">
        <f t="shared" ca="1" si="17"/>
        <v>0</v>
      </c>
      <c r="M45" s="129">
        <f t="shared" ca="1" si="18"/>
        <v>0</v>
      </c>
    </row>
    <row r="46" spans="1:13">
      <c r="A46" s="598" t="str">
        <f>Parameters!Q6</f>
        <v>Other Location</v>
      </c>
      <c r="B46" s="603"/>
      <c r="C46" s="128">
        <f t="shared" ca="1" si="17"/>
        <v>0</v>
      </c>
      <c r="D46" s="128">
        <f t="shared" ca="1" si="17"/>
        <v>0</v>
      </c>
      <c r="E46" s="128">
        <f t="shared" ca="1" si="17"/>
        <v>0</v>
      </c>
      <c r="F46" s="128">
        <f t="shared" ca="1" si="17"/>
        <v>0</v>
      </c>
      <c r="G46" s="128">
        <f t="shared" ca="1" si="17"/>
        <v>0</v>
      </c>
      <c r="H46" s="128">
        <f t="shared" ca="1" si="17"/>
        <v>0</v>
      </c>
      <c r="I46" s="128">
        <f t="shared" ca="1" si="17"/>
        <v>0</v>
      </c>
      <c r="J46" s="128">
        <f t="shared" ca="1" si="17"/>
        <v>0</v>
      </c>
      <c r="K46" s="128">
        <f t="shared" ca="1" si="17"/>
        <v>0</v>
      </c>
      <c r="L46" s="128">
        <f t="shared" ca="1" si="17"/>
        <v>0</v>
      </c>
      <c r="M46" s="129">
        <f ca="1">SUM(C46:L46)</f>
        <v>0</v>
      </c>
    </row>
    <row r="47" spans="1:13">
      <c r="A47" s="604" t="s">
        <v>171</v>
      </c>
      <c r="B47" s="605"/>
      <c r="C47" s="129">
        <f ca="1">SUM(C43:C46)</f>
        <v>0</v>
      </c>
      <c r="D47" s="129">
        <f t="shared" ref="D47:M47" ca="1" si="19">SUM(D43:D46)</f>
        <v>0</v>
      </c>
      <c r="E47" s="129">
        <f t="shared" ca="1" si="19"/>
        <v>0</v>
      </c>
      <c r="F47" s="129">
        <f t="shared" ca="1" si="19"/>
        <v>0</v>
      </c>
      <c r="G47" s="129">
        <f t="shared" ca="1" si="19"/>
        <v>0</v>
      </c>
      <c r="H47" s="129">
        <f t="shared" ca="1" si="19"/>
        <v>0</v>
      </c>
      <c r="I47" s="129">
        <f t="shared" ca="1" si="19"/>
        <v>0</v>
      </c>
      <c r="J47" s="129">
        <f t="shared" ca="1" si="19"/>
        <v>0</v>
      </c>
      <c r="K47" s="129">
        <f t="shared" ca="1" si="19"/>
        <v>0</v>
      </c>
      <c r="L47" s="129">
        <f t="shared" ca="1" si="19"/>
        <v>0</v>
      </c>
      <c r="M47" s="129">
        <f t="shared" ca="1" si="19"/>
        <v>0</v>
      </c>
    </row>
    <row r="49" spans="1:13">
      <c r="A49" s="579" t="s">
        <v>178</v>
      </c>
      <c r="B49" s="579"/>
      <c r="C49" s="579"/>
      <c r="D49" s="579"/>
      <c r="E49" s="579"/>
      <c r="F49" s="579"/>
      <c r="G49" s="579"/>
      <c r="H49" s="579"/>
      <c r="I49" s="579"/>
      <c r="J49" s="579"/>
      <c r="K49" s="579"/>
      <c r="L49" s="579"/>
      <c r="M49" s="579"/>
    </row>
    <row r="50" spans="1:13">
      <c r="A50" s="602"/>
      <c r="B50" s="602"/>
      <c r="C50" s="53">
        <f>StartDate</f>
        <v>43249</v>
      </c>
      <c r="D50" s="53">
        <f>C50+1</f>
        <v>43250</v>
      </c>
      <c r="E50" s="53">
        <f t="shared" ref="E50:L50" si="20">D50+1</f>
        <v>43251</v>
      </c>
      <c r="F50" s="53">
        <f t="shared" si="20"/>
        <v>43252</v>
      </c>
      <c r="G50" s="53">
        <f t="shared" si="20"/>
        <v>43253</v>
      </c>
      <c r="H50" s="53">
        <f t="shared" si="20"/>
        <v>43254</v>
      </c>
      <c r="I50" s="53">
        <f t="shared" si="20"/>
        <v>43255</v>
      </c>
      <c r="J50" s="53">
        <f t="shared" si="20"/>
        <v>43256</v>
      </c>
      <c r="K50" s="53">
        <f t="shared" si="20"/>
        <v>43257</v>
      </c>
      <c r="L50" s="53">
        <f t="shared" si="20"/>
        <v>43258</v>
      </c>
      <c r="M50" s="54" t="s">
        <v>171</v>
      </c>
    </row>
    <row r="51" spans="1:13">
      <c r="A51" s="598" t="str">
        <f>Parameters!Q3</f>
        <v>Graz Airport</v>
      </c>
      <c r="B51" s="603"/>
      <c r="C51" s="128">
        <f ca="1">COUNTIFS(INDIRECT("tblData[Dep From]"),$A51,INDIRECT("tblData[Dep Date]"),C$42,INDIRECT("tblData[ShuttleAtDeparture]"),"YES")</f>
        <v>0</v>
      </c>
      <c r="D51" s="128">
        <f t="shared" ref="D51:L51" ca="1" si="21">COUNTIFS(INDIRECT("tblData[Dep From]"),$A51,INDIRECT("tblData[Dep Date]"),D$42,INDIRECT("tblData[ShuttleAtDeparture]"),"YES")</f>
        <v>0</v>
      </c>
      <c r="E51" s="128">
        <f t="shared" ca="1" si="21"/>
        <v>0</v>
      </c>
      <c r="F51" s="128">
        <f t="shared" ca="1" si="21"/>
        <v>0</v>
      </c>
      <c r="G51" s="128">
        <f t="shared" ca="1" si="21"/>
        <v>0</v>
      </c>
      <c r="H51" s="128">
        <f t="shared" ca="1" si="21"/>
        <v>0</v>
      </c>
      <c r="I51" s="128">
        <f t="shared" ca="1" si="21"/>
        <v>0</v>
      </c>
      <c r="J51" s="128">
        <f t="shared" ca="1" si="21"/>
        <v>0</v>
      </c>
      <c r="K51" s="128">
        <f t="shared" ca="1" si="21"/>
        <v>0</v>
      </c>
      <c r="L51" s="128">
        <f t="shared" ca="1" si="21"/>
        <v>0</v>
      </c>
      <c r="M51" s="129">
        <f ca="1">SUM(C51:L51)</f>
        <v>0</v>
      </c>
    </row>
    <row r="52" spans="1:13">
      <c r="A52" s="598" t="str">
        <f>Parameters!Q4</f>
        <v>Graz Trainstation</v>
      </c>
      <c r="B52" s="603"/>
      <c r="C52" s="128">
        <f t="shared" ref="C52:L54" ca="1" si="22">COUNTIFS(INDIRECT("tblData[Dep From]"),$A52,INDIRECT("tblData[Dep Date]"),C$42,INDIRECT("tblData[ShuttleAtDeparture]"),"YES")</f>
        <v>0</v>
      </c>
      <c r="D52" s="128">
        <f t="shared" ca="1" si="22"/>
        <v>0</v>
      </c>
      <c r="E52" s="128">
        <f t="shared" ca="1" si="22"/>
        <v>0</v>
      </c>
      <c r="F52" s="128">
        <f t="shared" ca="1" si="22"/>
        <v>0</v>
      </c>
      <c r="G52" s="128">
        <f t="shared" ca="1" si="22"/>
        <v>0</v>
      </c>
      <c r="H52" s="128">
        <f t="shared" ca="1" si="22"/>
        <v>0</v>
      </c>
      <c r="I52" s="128">
        <f t="shared" ca="1" si="22"/>
        <v>0</v>
      </c>
      <c r="J52" s="128">
        <f t="shared" ca="1" si="22"/>
        <v>0</v>
      </c>
      <c r="K52" s="128">
        <f t="shared" ca="1" si="22"/>
        <v>0</v>
      </c>
      <c r="L52" s="128">
        <f t="shared" ca="1" si="22"/>
        <v>0</v>
      </c>
      <c r="M52" s="129">
        <f t="shared" ref="M52:M54" ca="1" si="23">SUM(C52:L52)</f>
        <v>0</v>
      </c>
    </row>
    <row r="53" spans="1:13">
      <c r="A53" s="598" t="str">
        <f>Parameters!Q5</f>
        <v>Vienna Airport</v>
      </c>
      <c r="B53" s="603"/>
      <c r="C53" s="128">
        <f t="shared" ca="1" si="22"/>
        <v>0</v>
      </c>
      <c r="D53" s="128">
        <f t="shared" ca="1" si="22"/>
        <v>0</v>
      </c>
      <c r="E53" s="128">
        <f t="shared" ca="1" si="22"/>
        <v>0</v>
      </c>
      <c r="F53" s="128">
        <f t="shared" ca="1" si="22"/>
        <v>0</v>
      </c>
      <c r="G53" s="128">
        <f t="shared" ca="1" si="22"/>
        <v>0</v>
      </c>
      <c r="H53" s="128">
        <f t="shared" ca="1" si="22"/>
        <v>0</v>
      </c>
      <c r="I53" s="128">
        <f t="shared" ca="1" si="22"/>
        <v>0</v>
      </c>
      <c r="J53" s="128">
        <f t="shared" ca="1" si="22"/>
        <v>0</v>
      </c>
      <c r="K53" s="128">
        <f t="shared" ca="1" si="22"/>
        <v>0</v>
      </c>
      <c r="L53" s="128">
        <f t="shared" ca="1" si="22"/>
        <v>0</v>
      </c>
      <c r="M53" s="129">
        <f t="shared" ca="1" si="23"/>
        <v>0</v>
      </c>
    </row>
    <row r="54" spans="1:13">
      <c r="A54" s="598" t="str">
        <f>Parameters!Q6</f>
        <v>Other Location</v>
      </c>
      <c r="B54" s="603"/>
      <c r="C54" s="128">
        <f t="shared" ca="1" si="22"/>
        <v>0</v>
      </c>
      <c r="D54" s="128">
        <f t="shared" ca="1" si="22"/>
        <v>0</v>
      </c>
      <c r="E54" s="128">
        <f t="shared" ca="1" si="22"/>
        <v>0</v>
      </c>
      <c r="F54" s="128">
        <f t="shared" ca="1" si="22"/>
        <v>0</v>
      </c>
      <c r="G54" s="128">
        <f t="shared" ca="1" si="22"/>
        <v>0</v>
      </c>
      <c r="H54" s="128">
        <f t="shared" ca="1" si="22"/>
        <v>0</v>
      </c>
      <c r="I54" s="128">
        <f t="shared" ca="1" si="22"/>
        <v>0</v>
      </c>
      <c r="J54" s="128">
        <f t="shared" ca="1" si="22"/>
        <v>0</v>
      </c>
      <c r="K54" s="128">
        <f t="shared" ca="1" si="22"/>
        <v>0</v>
      </c>
      <c r="L54" s="128">
        <f t="shared" ca="1" si="22"/>
        <v>0</v>
      </c>
      <c r="M54" s="129">
        <f t="shared" ca="1" si="23"/>
        <v>0</v>
      </c>
    </row>
    <row r="55" spans="1:13">
      <c r="A55" s="604" t="s">
        <v>171</v>
      </c>
      <c r="B55" s="605"/>
      <c r="C55" s="129">
        <f ca="1">SUM(C51:C54)</f>
        <v>0</v>
      </c>
      <c r="D55" s="129">
        <f t="shared" ref="D55:M55" ca="1" si="24">SUM(D51:D54)</f>
        <v>0</v>
      </c>
      <c r="E55" s="129">
        <f t="shared" ca="1" si="24"/>
        <v>0</v>
      </c>
      <c r="F55" s="129">
        <f t="shared" ca="1" si="24"/>
        <v>0</v>
      </c>
      <c r="G55" s="129">
        <f t="shared" ca="1" si="24"/>
        <v>0</v>
      </c>
      <c r="H55" s="129">
        <f t="shared" ca="1" si="24"/>
        <v>0</v>
      </c>
      <c r="I55" s="129">
        <f t="shared" ca="1" si="24"/>
        <v>0</v>
      </c>
      <c r="J55" s="129">
        <f t="shared" ca="1" si="24"/>
        <v>0</v>
      </c>
      <c r="K55" s="129">
        <f t="shared" ca="1" si="24"/>
        <v>0</v>
      </c>
      <c r="L55" s="129">
        <f t="shared" ca="1" si="24"/>
        <v>0</v>
      </c>
      <c r="M55" s="129">
        <f t="shared" ca="1" si="24"/>
        <v>0</v>
      </c>
    </row>
    <row r="57" spans="1:13">
      <c r="A57" s="579" t="s">
        <v>200</v>
      </c>
      <c r="B57" s="579"/>
      <c r="C57" s="579"/>
      <c r="D57" s="579"/>
      <c r="E57" s="579"/>
      <c r="F57" s="579"/>
      <c r="G57" s="579"/>
      <c r="H57" s="579"/>
      <c r="I57" s="579"/>
      <c r="J57" s="579"/>
      <c r="K57" s="579"/>
      <c r="L57" s="579"/>
      <c r="M57" s="579"/>
    </row>
    <row r="58" spans="1:13">
      <c r="A58" s="601"/>
      <c r="B58" s="601"/>
      <c r="C58" s="53">
        <f>StartDate</f>
        <v>43249</v>
      </c>
      <c r="D58" s="53">
        <f>C58+1</f>
        <v>43250</v>
      </c>
      <c r="E58" s="53">
        <f t="shared" ref="E58:L58" si="25">D58+1</f>
        <v>43251</v>
      </c>
      <c r="F58" s="53">
        <f t="shared" si="25"/>
        <v>43252</v>
      </c>
      <c r="G58" s="53">
        <f t="shared" si="25"/>
        <v>43253</v>
      </c>
      <c r="H58" s="53">
        <f t="shared" si="25"/>
        <v>43254</v>
      </c>
      <c r="I58" s="53">
        <f t="shared" si="25"/>
        <v>43255</v>
      </c>
      <c r="J58" s="53">
        <f t="shared" si="25"/>
        <v>43256</v>
      </c>
      <c r="K58" s="53">
        <f t="shared" si="25"/>
        <v>43257</v>
      </c>
      <c r="L58" s="53">
        <f t="shared" si="25"/>
        <v>43258</v>
      </c>
      <c r="M58" s="55" t="s">
        <v>171</v>
      </c>
    </row>
    <row r="59" spans="1:13">
      <c r="A59" s="592" t="s">
        <v>179</v>
      </c>
      <c r="B59" s="592"/>
      <c r="C59" s="128">
        <f ca="1">C53+C45</f>
        <v>0</v>
      </c>
      <c r="D59" s="128">
        <f ca="1">D53+D45</f>
        <v>0</v>
      </c>
      <c r="E59" s="128">
        <f t="shared" ref="E59:L59" ca="1" si="26">E53+E45</f>
        <v>0</v>
      </c>
      <c r="F59" s="128">
        <f ca="1">F53+F45</f>
        <v>0</v>
      </c>
      <c r="G59" s="128">
        <f t="shared" ca="1" si="26"/>
        <v>0</v>
      </c>
      <c r="H59" s="128">
        <f t="shared" ca="1" si="26"/>
        <v>0</v>
      </c>
      <c r="I59" s="128">
        <f t="shared" ca="1" si="26"/>
        <v>0</v>
      </c>
      <c r="J59" s="128">
        <f t="shared" ca="1" si="26"/>
        <v>0</v>
      </c>
      <c r="K59" s="128">
        <f t="shared" ca="1" si="26"/>
        <v>0</v>
      </c>
      <c r="L59" s="128">
        <f t="shared" ca="1" si="26"/>
        <v>0</v>
      </c>
      <c r="M59" s="129">
        <f ca="1">SUM(C59:L59)</f>
        <v>0</v>
      </c>
    </row>
    <row r="60" spans="1:13">
      <c r="A60" s="144"/>
      <c r="B60" s="144"/>
      <c r="C60" s="145"/>
      <c r="D60" s="145"/>
      <c r="E60" s="145"/>
      <c r="F60" s="145"/>
      <c r="G60" s="145"/>
      <c r="H60" s="145"/>
      <c r="I60" s="145"/>
      <c r="J60" s="145"/>
      <c r="K60" s="145"/>
      <c r="L60" s="145"/>
      <c r="M60" s="146"/>
    </row>
    <row r="61" spans="1:13">
      <c r="A61" s="606" t="s">
        <v>274</v>
      </c>
      <c r="B61" s="606"/>
      <c r="C61" s="606"/>
      <c r="D61" s="606"/>
      <c r="E61" s="606"/>
      <c r="F61" s="606"/>
      <c r="G61" s="606"/>
      <c r="H61" s="606"/>
      <c r="I61" s="606"/>
      <c r="J61" s="606"/>
      <c r="K61" s="606"/>
      <c r="L61" s="606"/>
      <c r="M61" s="606"/>
    </row>
    <row r="62" spans="1:13">
      <c r="A62" s="618"/>
      <c r="B62" s="618"/>
      <c r="C62" s="149">
        <f>StartDate</f>
        <v>43249</v>
      </c>
      <c r="D62" s="149">
        <f>C62+1</f>
        <v>43250</v>
      </c>
      <c r="E62" s="149">
        <f t="shared" ref="E62:K62" si="27">D62+1</f>
        <v>43251</v>
      </c>
      <c r="F62" s="149">
        <f t="shared" si="27"/>
        <v>43252</v>
      </c>
      <c r="G62" s="149">
        <f t="shared" si="27"/>
        <v>43253</v>
      </c>
      <c r="H62" s="149">
        <f t="shared" si="27"/>
        <v>43254</v>
      </c>
      <c r="I62" s="149">
        <f t="shared" si="27"/>
        <v>43255</v>
      </c>
      <c r="J62" s="149">
        <f t="shared" si="27"/>
        <v>43256</v>
      </c>
      <c r="K62" s="149">
        <f t="shared" si="27"/>
        <v>43257</v>
      </c>
      <c r="L62" s="149" t="s">
        <v>171</v>
      </c>
      <c r="M62" s="150" t="s">
        <v>272</v>
      </c>
    </row>
    <row r="63" spans="1:13" hidden="1">
      <c r="A63" s="618"/>
      <c r="B63" s="618"/>
      <c r="C63" s="149" t="s">
        <v>288</v>
      </c>
      <c r="D63" s="149" t="s">
        <v>289</v>
      </c>
      <c r="E63" s="149" t="s">
        <v>290</v>
      </c>
      <c r="F63" s="149" t="s">
        <v>291</v>
      </c>
      <c r="G63" s="149" t="s">
        <v>292</v>
      </c>
      <c r="H63" s="149" t="s">
        <v>293</v>
      </c>
      <c r="I63" s="149" t="s">
        <v>294</v>
      </c>
      <c r="J63" s="149" t="s">
        <v>295</v>
      </c>
      <c r="K63" s="149" t="s">
        <v>296</v>
      </c>
      <c r="L63" s="149" t="s">
        <v>171</v>
      </c>
      <c r="M63" s="150" t="s">
        <v>272</v>
      </c>
    </row>
    <row r="64" spans="1:13">
      <c r="A64" s="127" t="e">
        <f>VLOOKUP(AssignedCategory,tblHotelCategories[],2,0)</f>
        <v>#N/A</v>
      </c>
      <c r="B64" s="127" t="s">
        <v>263</v>
      </c>
      <c r="C64" s="417"/>
      <c r="D64" s="417"/>
      <c r="E64" s="417"/>
      <c r="F64" s="128">
        <f t="shared" ref="F64:H64" ca="1" si="28">COUNTIFS(INDIRECT("tblData["&amp;F$63&amp;"]"),"="&amp;$B64,INDIRECT("tblData[Type]"),"Referee",INDIRECT("tblData[Surname]"),"=?*")</f>
        <v>0</v>
      </c>
      <c r="G64" s="128">
        <f t="shared" ca="1" si="28"/>
        <v>0</v>
      </c>
      <c r="H64" s="128">
        <f t="shared" ca="1" si="28"/>
        <v>0</v>
      </c>
      <c r="I64" s="417"/>
      <c r="J64" s="417"/>
      <c r="K64" s="417"/>
      <c r="L64" s="128">
        <f ca="1">SUM(C64:K64)</f>
        <v>0</v>
      </c>
      <c r="M64" s="148" t="e">
        <f ca="1">VLOOKUP($A64&amp;", "&amp;$B64,tblAccommodationCosts[],5,0)*L64</f>
        <v>#N/A</v>
      </c>
    </row>
    <row r="65" spans="1:13">
      <c r="A65" s="127" t="e">
        <f>VLOOKUP(AssignedCategory,tblHotelCategories[],2,0)</f>
        <v>#N/A</v>
      </c>
      <c r="B65" s="127" t="s">
        <v>264</v>
      </c>
      <c r="C65" s="417"/>
      <c r="D65" s="417"/>
      <c r="E65" s="417"/>
      <c r="F65" s="128">
        <f t="shared" ref="F65:H72" ca="1" si="29">COUNTIFS(INDIRECT("tblData["&amp;F$63&amp;"]"),"="&amp;$B65,INDIRECT("tblData[Type]"),"Referee",INDIRECT("tblData[Surname]"),"=?*")</f>
        <v>0</v>
      </c>
      <c r="G65" s="128">
        <f t="shared" ca="1" si="29"/>
        <v>0</v>
      </c>
      <c r="H65" s="128">
        <f t="shared" ca="1" si="29"/>
        <v>0</v>
      </c>
      <c r="I65" s="417"/>
      <c r="J65" s="417"/>
      <c r="K65" s="417"/>
      <c r="L65" s="128">
        <f t="shared" ref="L65:L72" ca="1" si="30">SUM(C65:K65)</f>
        <v>0</v>
      </c>
      <c r="M65" s="148" t="e">
        <f ca="1">VLOOKUP($A65&amp;", "&amp;$B65,tblAccommodationCosts[],5,0)*L65</f>
        <v>#N/A</v>
      </c>
    </row>
    <row r="66" spans="1:13">
      <c r="A66" s="127" t="e">
        <f>VLOOKUP(AssignedCategory,tblHotelCategories[],2,0)</f>
        <v>#N/A</v>
      </c>
      <c r="B66" s="127" t="s">
        <v>265</v>
      </c>
      <c r="C66" s="417"/>
      <c r="D66" s="417"/>
      <c r="E66" s="417"/>
      <c r="F66" s="128">
        <f t="shared" ca="1" si="29"/>
        <v>0</v>
      </c>
      <c r="G66" s="128">
        <f t="shared" ca="1" si="29"/>
        <v>0</v>
      </c>
      <c r="H66" s="128">
        <f t="shared" ca="1" si="29"/>
        <v>0</v>
      </c>
      <c r="I66" s="417"/>
      <c r="J66" s="417"/>
      <c r="K66" s="417"/>
      <c r="L66" s="128">
        <f t="shared" ca="1" si="30"/>
        <v>0</v>
      </c>
      <c r="M66" s="148" t="e">
        <f ca="1">VLOOKUP($A66&amp;", "&amp;$B66,tblAccommodationCosts[],5,0)*L66</f>
        <v>#N/A</v>
      </c>
    </row>
    <row r="67" spans="1:13">
      <c r="A67" s="127" t="e">
        <f>VLOOKUP(AssignedCategory,tblHotelCategories[],2,0)</f>
        <v>#N/A</v>
      </c>
      <c r="B67" s="127" t="s">
        <v>266</v>
      </c>
      <c r="C67" s="417"/>
      <c r="D67" s="417"/>
      <c r="E67" s="417"/>
      <c r="F67" s="128">
        <f t="shared" ca="1" si="29"/>
        <v>0</v>
      </c>
      <c r="G67" s="128">
        <f t="shared" ca="1" si="29"/>
        <v>0</v>
      </c>
      <c r="H67" s="128">
        <f t="shared" ca="1" si="29"/>
        <v>0</v>
      </c>
      <c r="I67" s="417"/>
      <c r="J67" s="417"/>
      <c r="K67" s="417"/>
      <c r="L67" s="128">
        <f t="shared" ca="1" si="30"/>
        <v>0</v>
      </c>
      <c r="M67" s="148" t="e">
        <f ca="1">VLOOKUP($A67&amp;", "&amp;$B67,tblAccommodationCosts[],5,0)*L67</f>
        <v>#N/A</v>
      </c>
    </row>
    <row r="68" spans="1:13">
      <c r="A68" s="127" t="e">
        <f>VLOOKUP(AssignedCategory,tblHotelCategories[],2,0)</f>
        <v>#N/A</v>
      </c>
      <c r="B68" s="127" t="s">
        <v>267</v>
      </c>
      <c r="C68" s="417"/>
      <c r="D68" s="417"/>
      <c r="E68" s="417"/>
      <c r="F68" s="128">
        <f t="shared" ca="1" si="29"/>
        <v>0</v>
      </c>
      <c r="G68" s="128">
        <f t="shared" ca="1" si="29"/>
        <v>0</v>
      </c>
      <c r="H68" s="128">
        <f t="shared" ca="1" si="29"/>
        <v>0</v>
      </c>
      <c r="I68" s="417"/>
      <c r="J68" s="417"/>
      <c r="K68" s="417"/>
      <c r="L68" s="128">
        <f t="shared" ca="1" si="30"/>
        <v>0</v>
      </c>
      <c r="M68" s="148" t="e">
        <f ca="1">VLOOKUP($A68&amp;", "&amp;$B68,tblAccommodationCosts[],5,0)*L68</f>
        <v>#N/A</v>
      </c>
    </row>
    <row r="69" spans="1:13">
      <c r="A69" s="127" t="e">
        <f>VLOOKUP(AssignedCategory,tblHotelCategories[],2,0)</f>
        <v>#N/A</v>
      </c>
      <c r="B69" s="127" t="s">
        <v>268</v>
      </c>
      <c r="C69" s="417"/>
      <c r="D69" s="417"/>
      <c r="E69" s="417"/>
      <c r="F69" s="128">
        <f t="shared" ca="1" si="29"/>
        <v>0</v>
      </c>
      <c r="G69" s="128">
        <f t="shared" ca="1" si="29"/>
        <v>0</v>
      </c>
      <c r="H69" s="128">
        <f t="shared" ca="1" si="29"/>
        <v>0</v>
      </c>
      <c r="I69" s="417"/>
      <c r="J69" s="417"/>
      <c r="K69" s="417"/>
      <c r="L69" s="128">
        <f t="shared" ca="1" si="30"/>
        <v>0</v>
      </c>
      <c r="M69" s="148" t="e">
        <f ca="1">VLOOKUP($A69&amp;", "&amp;$B69,tblAccommodationCosts[],5,0)*L69</f>
        <v>#N/A</v>
      </c>
    </row>
    <row r="70" spans="1:13">
      <c r="A70" s="127" t="e">
        <f>VLOOKUP(AssignedCategory,tblHotelCategories[],2,0)</f>
        <v>#N/A</v>
      </c>
      <c r="B70" s="127" t="s">
        <v>269</v>
      </c>
      <c r="C70" s="417"/>
      <c r="D70" s="417"/>
      <c r="E70" s="417"/>
      <c r="F70" s="128">
        <f t="shared" ca="1" si="29"/>
        <v>0</v>
      </c>
      <c r="G70" s="128">
        <f t="shared" ca="1" si="29"/>
        <v>0</v>
      </c>
      <c r="H70" s="128">
        <f t="shared" ca="1" si="29"/>
        <v>0</v>
      </c>
      <c r="I70" s="417"/>
      <c r="J70" s="417"/>
      <c r="K70" s="417"/>
      <c r="L70" s="128">
        <f t="shared" ca="1" si="30"/>
        <v>0</v>
      </c>
      <c r="M70" s="148" t="e">
        <f ca="1">VLOOKUP($A70&amp;", "&amp;$B70,tblAccommodationCosts[],5,0)*L70</f>
        <v>#N/A</v>
      </c>
    </row>
    <row r="71" spans="1:13">
      <c r="A71" s="127" t="e">
        <f>VLOOKUP(AssignedCategory,tblHotelCategories[],2,0)</f>
        <v>#N/A</v>
      </c>
      <c r="B71" s="127" t="s">
        <v>270</v>
      </c>
      <c r="C71" s="417"/>
      <c r="D71" s="417"/>
      <c r="E71" s="417"/>
      <c r="F71" s="128">
        <f t="shared" ca="1" si="29"/>
        <v>0</v>
      </c>
      <c r="G71" s="128">
        <f t="shared" ca="1" si="29"/>
        <v>0</v>
      </c>
      <c r="H71" s="128">
        <f t="shared" ca="1" si="29"/>
        <v>0</v>
      </c>
      <c r="I71" s="417"/>
      <c r="J71" s="417"/>
      <c r="K71" s="417"/>
      <c r="L71" s="128">
        <f t="shared" ca="1" si="30"/>
        <v>0</v>
      </c>
      <c r="M71" s="148" t="e">
        <f ca="1">VLOOKUP($A71&amp;", "&amp;$B71,tblAccommodationCosts[],5,0)*L71</f>
        <v>#N/A</v>
      </c>
    </row>
    <row r="72" spans="1:13">
      <c r="A72" s="127" t="e">
        <f>VLOOKUP(AssignedCategory,tblHotelCategories[],2,0)</f>
        <v>#N/A</v>
      </c>
      <c r="B72" s="127" t="s">
        <v>271</v>
      </c>
      <c r="C72" s="417"/>
      <c r="D72" s="417"/>
      <c r="E72" s="417"/>
      <c r="F72" s="128">
        <f t="shared" ca="1" si="29"/>
        <v>0</v>
      </c>
      <c r="G72" s="128">
        <f t="shared" ca="1" si="29"/>
        <v>0</v>
      </c>
      <c r="H72" s="128">
        <f t="shared" ca="1" si="29"/>
        <v>0</v>
      </c>
      <c r="I72" s="417"/>
      <c r="J72" s="417"/>
      <c r="K72" s="417"/>
      <c r="L72" s="128">
        <f t="shared" ca="1" si="30"/>
        <v>0</v>
      </c>
      <c r="M72" s="148" t="e">
        <f ca="1">VLOOKUP($A72&amp;", "&amp;$B72,tblAccommodationCosts[],5,0)*L72</f>
        <v>#N/A</v>
      </c>
    </row>
    <row r="73" spans="1:13">
      <c r="A73" s="609"/>
      <c r="B73" s="610"/>
      <c r="C73" s="610"/>
      <c r="D73" s="610"/>
      <c r="E73" s="610"/>
      <c r="F73" s="610"/>
      <c r="G73" s="610"/>
      <c r="H73" s="610"/>
      <c r="I73" s="610"/>
      <c r="J73" s="611"/>
      <c r="K73" s="607" t="s">
        <v>171</v>
      </c>
      <c r="L73" s="608"/>
      <c r="M73" s="148" t="e">
        <f ca="1">SUM(M64:M72)</f>
        <v>#N/A</v>
      </c>
    </row>
    <row r="74" spans="1:13">
      <c r="A74" s="609"/>
      <c r="B74" s="610"/>
      <c r="C74" s="610"/>
      <c r="D74" s="610"/>
      <c r="E74" s="610"/>
      <c r="F74" s="610"/>
      <c r="G74" s="610"/>
      <c r="H74" s="610"/>
      <c r="I74" s="610"/>
      <c r="J74" s="611"/>
      <c r="K74" s="152" t="s">
        <v>273</v>
      </c>
      <c r="L74" s="161">
        <v>0.5</v>
      </c>
      <c r="M74" s="151" t="e">
        <f ca="1">M73*L74</f>
        <v>#N/A</v>
      </c>
    </row>
    <row r="75" spans="1:13" ht="16.5" thickBot="1"/>
    <row r="76" spans="1:13">
      <c r="A76" s="612" t="s">
        <v>192</v>
      </c>
      <c r="B76" s="613"/>
      <c r="C76" s="613"/>
      <c r="D76" s="627" t="s">
        <v>169</v>
      </c>
      <c r="E76" s="629" t="s">
        <v>165</v>
      </c>
      <c r="F76" s="631" t="s">
        <v>167</v>
      </c>
      <c r="G76" s="626"/>
      <c r="H76" s="625" t="s">
        <v>168</v>
      </c>
      <c r="I76" s="626"/>
    </row>
    <row r="77" spans="1:13" ht="32.25" thickBot="1">
      <c r="A77" s="614"/>
      <c r="B77" s="615"/>
      <c r="C77" s="615"/>
      <c r="D77" s="628"/>
      <c r="E77" s="630"/>
      <c r="F77" s="153" t="s">
        <v>188</v>
      </c>
      <c r="G77" s="154" t="s">
        <v>189</v>
      </c>
      <c r="H77" s="153" t="s">
        <v>188</v>
      </c>
      <c r="I77" s="154" t="s">
        <v>190</v>
      </c>
    </row>
    <row r="78" spans="1:13" ht="18.95" customHeight="1">
      <c r="A78" s="158" t="s">
        <v>39</v>
      </c>
      <c r="B78" s="599" t="s">
        <v>183</v>
      </c>
      <c r="C78" s="600"/>
      <c r="D78" s="164">
        <f ca="1">M17</f>
        <v>0</v>
      </c>
      <c r="E78" s="165" t="e">
        <f>VLOOKUP(VLOOKUP(AssignedCategory,tblHotelCategories[],2,0)&amp;", "&amp;A78,tblRoomPrices[],4,0)</f>
        <v>#N/A</v>
      </c>
      <c r="F78" s="162"/>
      <c r="G78" s="170" t="e">
        <f ca="1">IF(ISBLANK(F78),$E78,F78)*$D78</f>
        <v>#N/A</v>
      </c>
      <c r="H78" s="173"/>
      <c r="I78" s="159" t="e">
        <f ca="1">IF(ISBLANK(H78),$E78,H78)*$D78</f>
        <v>#N/A</v>
      </c>
      <c r="J78" s="552" t="s">
        <v>201</v>
      </c>
      <c r="K78" s="553"/>
      <c r="L78" s="553"/>
      <c r="M78" s="553"/>
    </row>
    <row r="79" spans="1:13" ht="18.95" customHeight="1">
      <c r="A79" s="160" t="s">
        <v>40</v>
      </c>
      <c r="B79" s="592" t="s">
        <v>184</v>
      </c>
      <c r="C79" s="598"/>
      <c r="D79" s="56">
        <f ca="1">M19</f>
        <v>0</v>
      </c>
      <c r="E79" s="166" t="e">
        <f>VLOOKUP(VLOOKUP(AssignedCategory,tblHotelCategories[],2,0)&amp;", "&amp;A79,tblRoomPrices[],4,0)</f>
        <v>#N/A</v>
      </c>
      <c r="F79" s="34"/>
      <c r="G79" s="171" t="e">
        <f t="shared" ref="G79:G86" ca="1" si="31">IF(ISBLANK(F79),$E79,F79)*$D79</f>
        <v>#N/A</v>
      </c>
      <c r="H79" s="33"/>
      <c r="I79" s="57" t="e">
        <f t="shared" ref="I79:I86" ca="1" si="32">IF(ISBLANK(H79),$E79,H79)*$D79</f>
        <v>#N/A</v>
      </c>
    </row>
    <row r="80" spans="1:13" ht="18.95" customHeight="1">
      <c r="A80" s="160" t="s">
        <v>41</v>
      </c>
      <c r="B80" s="592" t="s">
        <v>185</v>
      </c>
      <c r="C80" s="598"/>
      <c r="D80" s="56">
        <f ca="1">M21</f>
        <v>0</v>
      </c>
      <c r="E80" s="166" t="e">
        <f>VLOOKUP(VLOOKUP(AssignedCategory,tblHotelCategories[],2,0)&amp;", "&amp;A80,tblRoomPrices[],4,0)</f>
        <v>#N/A</v>
      </c>
      <c r="F80" s="34"/>
      <c r="G80" s="171" t="e">
        <f t="shared" ca="1" si="31"/>
        <v>#N/A</v>
      </c>
      <c r="H80" s="33"/>
      <c r="I80" s="57" t="e">
        <f t="shared" ca="1" si="32"/>
        <v>#N/A</v>
      </c>
    </row>
    <row r="81" spans="1:9" ht="18.95" customHeight="1">
      <c r="A81" s="160" t="s">
        <v>49</v>
      </c>
      <c r="B81" s="592" t="s">
        <v>186</v>
      </c>
      <c r="C81" s="598"/>
      <c r="D81" s="56">
        <f ca="1">L29</f>
        <v>0</v>
      </c>
      <c r="E81" s="166" t="e">
        <f>VLOOKUP(VLOOKUP(AssignedCategory,tblHotelCategories[],2,0),tblMealPrices[],2,0)</f>
        <v>#N/A</v>
      </c>
      <c r="F81" s="34"/>
      <c r="G81" s="171" t="e">
        <f t="shared" ca="1" si="31"/>
        <v>#N/A</v>
      </c>
      <c r="H81" s="33"/>
      <c r="I81" s="57" t="e">
        <f t="shared" ca="1" si="32"/>
        <v>#N/A</v>
      </c>
    </row>
    <row r="82" spans="1:9" ht="18.95" customHeight="1">
      <c r="A82" s="160" t="s">
        <v>50</v>
      </c>
      <c r="B82" s="592" t="s">
        <v>187</v>
      </c>
      <c r="C82" s="598"/>
      <c r="D82" s="56">
        <f ca="1">L30</f>
        <v>0</v>
      </c>
      <c r="E82" s="166" t="e">
        <f>E81*2</f>
        <v>#N/A</v>
      </c>
      <c r="F82" s="34"/>
      <c r="G82" s="171" t="e">
        <f t="shared" ca="1" si="31"/>
        <v>#N/A</v>
      </c>
      <c r="H82" s="33"/>
      <c r="I82" s="57" t="e">
        <f t="shared" ca="1" si="32"/>
        <v>#N/A</v>
      </c>
    </row>
    <row r="83" spans="1:9" ht="18.95" customHeight="1">
      <c r="A83" s="597" t="s">
        <v>166</v>
      </c>
      <c r="B83" s="592"/>
      <c r="C83" s="598"/>
      <c r="D83" s="56">
        <f>SUM(tblData[Bill Accred Fee])</f>
        <v>0</v>
      </c>
      <c r="E83" s="166">
        <f>AccreditationFee</f>
        <v>80</v>
      </c>
      <c r="F83" s="34"/>
      <c r="G83" s="171">
        <f t="shared" si="31"/>
        <v>0</v>
      </c>
      <c r="H83" s="33"/>
      <c r="I83" s="57">
        <f t="shared" si="32"/>
        <v>0</v>
      </c>
    </row>
    <row r="84" spans="1:9" ht="18.95" customHeight="1">
      <c r="A84" s="597" t="s">
        <v>303</v>
      </c>
      <c r="B84" s="592"/>
      <c r="C84" s="598"/>
      <c r="D84" s="56">
        <f>SUM(tblData[Entry Fee Billable])</f>
        <v>0</v>
      </c>
      <c r="E84" s="166">
        <f>EntryFee</f>
        <v>10</v>
      </c>
      <c r="F84" s="34"/>
      <c r="G84" s="171">
        <f t="shared" si="31"/>
        <v>0</v>
      </c>
      <c r="H84" s="33"/>
      <c r="I84" s="57">
        <f t="shared" si="32"/>
        <v>0</v>
      </c>
    </row>
    <row r="85" spans="1:9" ht="18.95" customHeight="1">
      <c r="A85" s="597" t="s">
        <v>221</v>
      </c>
      <c r="B85" s="592"/>
      <c r="C85" s="598"/>
      <c r="D85" s="56">
        <f ca="1">M59</f>
        <v>0</v>
      </c>
      <c r="E85" s="167"/>
      <c r="F85" s="34"/>
      <c r="G85" s="171">
        <f t="shared" ca="1" si="31"/>
        <v>0</v>
      </c>
      <c r="H85" s="33"/>
      <c r="I85" s="57">
        <f t="shared" ca="1" si="32"/>
        <v>0</v>
      </c>
    </row>
    <row r="86" spans="1:9" ht="18.95" customHeight="1" thickBot="1">
      <c r="A86" s="549" t="s">
        <v>275</v>
      </c>
      <c r="B86" s="550"/>
      <c r="C86" s="551"/>
      <c r="D86" s="168" t="e">
        <f ca="1">IF($M$74&lt;&gt;0,1,0)</f>
        <v>#N/A</v>
      </c>
      <c r="E86" s="169" t="e">
        <f ca="1">-$M$74</f>
        <v>#N/A</v>
      </c>
      <c r="F86" s="163"/>
      <c r="G86" s="172" t="e">
        <f t="shared" ca="1" si="31"/>
        <v>#N/A</v>
      </c>
      <c r="H86" s="174"/>
      <c r="I86" s="147" t="e">
        <f t="shared" ca="1" si="32"/>
        <v>#N/A</v>
      </c>
    </row>
    <row r="87" spans="1:9" ht="16.5" thickBot="1">
      <c r="D87" s="58"/>
      <c r="E87" s="155" t="s">
        <v>180</v>
      </c>
      <c r="F87" s="156"/>
      <c r="G87" s="156" t="e">
        <f ca="1">SUM(G78:G86)</f>
        <v>#N/A</v>
      </c>
      <c r="H87" s="156"/>
      <c r="I87" s="157" t="e">
        <f ca="1">SUM(I78:I86)</f>
        <v>#N/A</v>
      </c>
    </row>
    <row r="88" spans="1:9">
      <c r="D88" s="58"/>
      <c r="E88" s="59"/>
      <c r="F88" s="59"/>
      <c r="G88" s="59"/>
    </row>
    <row r="89" spans="1:9">
      <c r="A89" s="60" t="s">
        <v>193</v>
      </c>
    </row>
  </sheetData>
  <sheetProtection password="E8E9" sheet="1" objects="1" scenarios="1" selectLockedCells="1"/>
  <mergeCells count="69">
    <mergeCell ref="D5:F5"/>
    <mergeCell ref="A34:B34"/>
    <mergeCell ref="A62:B62"/>
    <mergeCell ref="I9:M11"/>
    <mergeCell ref="H76:I76"/>
    <mergeCell ref="D76:D77"/>
    <mergeCell ref="E76:E77"/>
    <mergeCell ref="F76:G76"/>
    <mergeCell ref="A45:B45"/>
    <mergeCell ref="A47:B47"/>
    <mergeCell ref="A46:B46"/>
    <mergeCell ref="A42:B42"/>
    <mergeCell ref="A43:B43"/>
    <mergeCell ref="A44:B44"/>
    <mergeCell ref="A63:B63"/>
    <mergeCell ref="B78:C78"/>
    <mergeCell ref="B79:C79"/>
    <mergeCell ref="A59:B59"/>
    <mergeCell ref="A58:B58"/>
    <mergeCell ref="A50:B50"/>
    <mergeCell ref="A51:B51"/>
    <mergeCell ref="A52:B52"/>
    <mergeCell ref="A53:B53"/>
    <mergeCell ref="A55:B55"/>
    <mergeCell ref="A54:B54"/>
    <mergeCell ref="A61:M61"/>
    <mergeCell ref="K73:L73"/>
    <mergeCell ref="A73:J73"/>
    <mergeCell ref="A74:J74"/>
    <mergeCell ref="A76:C77"/>
    <mergeCell ref="A57:M57"/>
    <mergeCell ref="A83:C83"/>
    <mergeCell ref="A85:C85"/>
    <mergeCell ref="B80:C80"/>
    <mergeCell ref="B81:C81"/>
    <mergeCell ref="B82:C82"/>
    <mergeCell ref="A84:C84"/>
    <mergeCell ref="A1:B1"/>
    <mergeCell ref="A28:B28"/>
    <mergeCell ref="A29:B29"/>
    <mergeCell ref="A30:B30"/>
    <mergeCell ref="A13:M13"/>
    <mergeCell ref="A22:B22"/>
    <mergeCell ref="A25:L25"/>
    <mergeCell ref="A27:B27"/>
    <mergeCell ref="C1:F1"/>
    <mergeCell ref="H1:L1"/>
    <mergeCell ref="I2:L2"/>
    <mergeCell ref="I3:L3"/>
    <mergeCell ref="A6:B6"/>
    <mergeCell ref="A5:B5"/>
    <mergeCell ref="I8:M8"/>
    <mergeCell ref="A26:B26"/>
    <mergeCell ref="A86:C86"/>
    <mergeCell ref="J78:M78"/>
    <mergeCell ref="A8:G8"/>
    <mergeCell ref="A9:G11"/>
    <mergeCell ref="A4:B4"/>
    <mergeCell ref="D4:F4"/>
    <mergeCell ref="I4:L4"/>
    <mergeCell ref="C6:F6"/>
    <mergeCell ref="A36:B36"/>
    <mergeCell ref="A37:B37"/>
    <mergeCell ref="A38:B38"/>
    <mergeCell ref="A31:B31"/>
    <mergeCell ref="A33:L33"/>
    <mergeCell ref="A35:B35"/>
    <mergeCell ref="A49:M49"/>
    <mergeCell ref="A41:M41"/>
  </mergeCells>
  <conditionalFormatting sqref="C18:K19">
    <cfRule type="expression" dxfId="60" priority="13">
      <formula>MOD(C18,2)&gt;0</formula>
    </cfRule>
  </conditionalFormatting>
  <conditionalFormatting sqref="C20:K21">
    <cfRule type="expression" dxfId="59" priority="12">
      <formula>AND(C20&gt;0,C20&lt;3)</formula>
    </cfRule>
  </conditionalFormatting>
  <conditionalFormatting sqref="C46:L46">
    <cfRule type="cellIs" dxfId="58" priority="3" operator="greaterThan">
      <formula>0</formula>
    </cfRule>
  </conditionalFormatting>
  <conditionalFormatting sqref="C54:L54">
    <cfRule type="cellIs" dxfId="57" priority="2" operator="greaterThan">
      <formula>0</formula>
    </cfRule>
  </conditionalFormatting>
  <conditionalFormatting sqref="I9:M11">
    <cfRule type="notContainsBlanks" dxfId="56" priority="1">
      <formula>LEN(TRIM(I9))&gt;0</formula>
    </cfRule>
  </conditionalFormatting>
  <dataValidations count="1">
    <dataValidation type="list" allowBlank="1" showInputMessage="1" showErrorMessage="1" sqref="C5" xr:uid="{00000000-0002-0000-0600-000000000000}">
      <formula1>lstHotelCategory</formula1>
    </dataValidation>
  </dataValidations>
  <pageMargins left="0.7" right="0.7" top="0.75" bottom="0.75" header="0.3" footer="0.3"/>
  <pageSetup paperSize="9" orientation="portrait" r:id="rId1"/>
  <ignoredErrors>
    <ignoredError sqref="G85 I85 A9 C4 I83 G83" unlockedFormula="1"/>
    <ignoredError sqref="E78:E82" evalError="1"/>
    <ignoredError sqref="G78:G82 I78:I82" evalError="1" unlockedFormula="1"/>
  </ignoredError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Tabelle8">
    <pageSetUpPr fitToPage="1"/>
  </sheetPr>
  <dimension ref="A1:N116"/>
  <sheetViews>
    <sheetView showGridLines="0" workbookViewId="0">
      <selection activeCell="A7" sqref="A7"/>
    </sheetView>
  </sheetViews>
  <sheetFormatPr baseColWidth="10" defaultColWidth="10.875" defaultRowHeight="15.75"/>
  <cols>
    <col min="1" max="1" width="4.625" style="92" customWidth="1"/>
    <col min="2" max="2" width="11.625" style="92" customWidth="1"/>
    <col min="3" max="3" width="13.625" style="92" customWidth="1"/>
    <col min="4" max="4" width="10.875" style="92"/>
    <col min="5" max="5" width="9.625" style="92" customWidth="1"/>
    <col min="6" max="16384" width="10.875" style="92"/>
  </cols>
  <sheetData>
    <row r="1" spans="1:14" ht="33.950000000000003" customHeight="1">
      <c r="A1" s="634" t="str">
        <f>Header2</f>
        <v>IJF WORLD JUNIOR TOUR, June, 02 and 03, 2018 
EJU JUNIOR TRAINING CAMP, June 04 to 06, 2018 (Leibnitz - Austria)</v>
      </c>
      <c r="B1" s="634"/>
      <c r="C1" s="634"/>
      <c r="D1" s="634"/>
      <c r="E1" s="634"/>
      <c r="F1" s="634"/>
      <c r="G1" s="634"/>
      <c r="H1" s="634"/>
      <c r="I1" s="634"/>
      <c r="J1" s="634"/>
      <c r="K1" s="634"/>
      <c r="L1" s="634"/>
      <c r="M1" s="634"/>
      <c r="N1" s="634"/>
    </row>
    <row r="2" spans="1:14">
      <c r="A2" s="260"/>
      <c r="B2" s="260"/>
      <c r="C2" s="260"/>
      <c r="D2" s="260"/>
      <c r="E2" s="260"/>
      <c r="F2" s="260"/>
      <c r="G2" s="260"/>
      <c r="H2" s="260"/>
      <c r="I2" s="260"/>
      <c r="J2" s="260"/>
      <c r="K2" s="260"/>
      <c r="L2" s="260"/>
      <c r="M2" s="260"/>
      <c r="N2" s="260"/>
    </row>
    <row r="3" spans="1:14" ht="21">
      <c r="A3" s="635" t="str">
        <f>"Check In List for "&amp;Federation</f>
        <v xml:space="preserve">Check In List for </v>
      </c>
      <c r="B3" s="635"/>
      <c r="C3" s="635"/>
      <c r="D3" s="635"/>
      <c r="E3" s="635"/>
      <c r="F3" s="635"/>
      <c r="G3" s="635"/>
      <c r="H3" s="635"/>
      <c r="I3" s="635"/>
      <c r="J3" s="635"/>
      <c r="K3" s="635"/>
      <c r="L3" s="635"/>
      <c r="M3" s="635"/>
      <c r="N3" s="635"/>
    </row>
    <row r="4" spans="1:14" ht="16.5" thickBot="1"/>
    <row r="5" spans="1:14" ht="16.5" thickBot="1">
      <c r="A5" s="428" t="s">
        <v>88</v>
      </c>
      <c r="B5" s="429" t="s">
        <v>281</v>
      </c>
      <c r="C5" s="429" t="s">
        <v>282</v>
      </c>
      <c r="D5" s="429" t="s">
        <v>62</v>
      </c>
      <c r="E5" s="429" t="s">
        <v>114</v>
      </c>
      <c r="F5" s="430">
        <f>StartDate</f>
        <v>43249</v>
      </c>
      <c r="G5" s="430">
        <f>F5+1</f>
        <v>43250</v>
      </c>
      <c r="H5" s="430">
        <f t="shared" ref="H5:N5" si="0">G5+1</f>
        <v>43251</v>
      </c>
      <c r="I5" s="430">
        <f t="shared" si="0"/>
        <v>43252</v>
      </c>
      <c r="J5" s="430">
        <f t="shared" si="0"/>
        <v>43253</v>
      </c>
      <c r="K5" s="430">
        <f t="shared" si="0"/>
        <v>43254</v>
      </c>
      <c r="L5" s="430">
        <f t="shared" si="0"/>
        <v>43255</v>
      </c>
      <c r="M5" s="430">
        <f t="shared" si="0"/>
        <v>43256</v>
      </c>
      <c r="N5" s="430">
        <f t="shared" si="0"/>
        <v>43257</v>
      </c>
    </row>
    <row r="6" spans="1:14" ht="16.5" hidden="1" thickBot="1">
      <c r="A6" s="193" t="s">
        <v>88</v>
      </c>
      <c r="B6" s="268" t="s">
        <v>281</v>
      </c>
      <c r="C6" s="268" t="s">
        <v>282</v>
      </c>
      <c r="D6" s="268" t="s">
        <v>62</v>
      </c>
      <c r="E6" s="268" t="s">
        <v>114</v>
      </c>
      <c r="F6" s="269" t="s">
        <v>288</v>
      </c>
      <c r="G6" s="269" t="s">
        <v>289</v>
      </c>
      <c r="H6" s="269" t="s">
        <v>290</v>
      </c>
      <c r="I6" s="269" t="s">
        <v>291</v>
      </c>
      <c r="J6" s="269" t="s">
        <v>292</v>
      </c>
      <c r="K6" s="269" t="s">
        <v>293</v>
      </c>
      <c r="L6" s="269" t="s">
        <v>294</v>
      </c>
      <c r="M6" s="269" t="s">
        <v>295</v>
      </c>
      <c r="N6" s="269" t="s">
        <v>296</v>
      </c>
    </row>
    <row r="7" spans="1:14" s="125" customFormat="1" ht="32.1" customHeight="1">
      <c r="A7" s="265" t="str">
        <f ca="1">IFERROR(VLOOKUP('Data Entry Form'!$CG14,tblData[],COLUMN(INDIRECT("tblData[[No]]")),0),"")</f>
        <v/>
      </c>
      <c r="B7" s="266" t="str">
        <f ca="1">IFERROR(VLOOKUP('Data Entry Form'!$CG14,tblData[],COLUMN(INDIRECT("tblData[[Surname]]")),0),"")</f>
        <v/>
      </c>
      <c r="C7" s="266" t="str">
        <f ca="1">IFERROR(VLOOKUP('Data Entry Form'!$CG14,tblData[],COLUMN(INDIRECT("tblData[[Given Name]]")),0),"")</f>
        <v/>
      </c>
      <c r="D7" s="266" t="str">
        <f ca="1">IFERROR(VLOOKUP('Data Entry Form'!$CG14,tblData[],COLUMN(INDIRECT("tblData[[Position]]")),0),"")</f>
        <v/>
      </c>
      <c r="E7" s="266" t="str">
        <f ca="1">IFERROR(VLOOKUP('Data Entry Form'!$CG14,tblData[],COLUMN(INDIRECT("tblData[[Gender]]")),0),"")</f>
        <v/>
      </c>
      <c r="F7" s="267" t="str">
        <f ca="1">IFERROR(IF(VLOOKUP('Data Entry Form'!$CG14,tblData[],COLUMN(INDIRECT("tblData[[Day 1]]")),0)=0,"",VLOOKUP('Data Entry Form'!$CG14,tblData[],COLUMN(INDIRECT("tblData[[Day 1]]")),0)),"")</f>
        <v/>
      </c>
      <c r="G7" s="267" t="str">
        <f ca="1">IFERROR(IF(VLOOKUP('Data Entry Form'!$CG14,tblData[],COLUMN(INDIRECT("tblData[[Day 2]]")),0)=0,"",VLOOKUP('Data Entry Form'!$CG14,tblData[],COLUMN(INDIRECT("tblData[[Day 2]]")),0)),"")</f>
        <v/>
      </c>
      <c r="H7" s="267" t="str">
        <f ca="1">IFERROR(IF(VLOOKUP('Data Entry Form'!$CG14,tblData[],COLUMN(INDIRECT("tblData[[Day 3]]")),0)=0,"",VLOOKUP('Data Entry Form'!$CG14,tblData[],COLUMN(INDIRECT("tblData[[Day 3]]")),0)),"")</f>
        <v/>
      </c>
      <c r="I7" s="267" t="str">
        <f ca="1">IFERROR(IF(VLOOKUP('Data Entry Form'!$CG14,tblData[],COLUMN(INDIRECT("tblData[[Day 4]]")),0)=0,"",VLOOKUP('Data Entry Form'!$CG14,tblData[],COLUMN(INDIRECT("tblData[[Day 4]]")),0)),"")</f>
        <v/>
      </c>
      <c r="J7" s="267" t="str">
        <f ca="1">IFERROR(IF(VLOOKUP('Data Entry Form'!$CG14,tblData[],COLUMN(INDIRECT("tblData[[Day 5]]")),0)=0,"",VLOOKUP('Data Entry Form'!$CG14,tblData[],COLUMN(INDIRECT("tblData[[Day 5]]")),0)),"")</f>
        <v/>
      </c>
      <c r="K7" s="267" t="str">
        <f ca="1">IFERROR(IF(VLOOKUP('Data Entry Form'!$CG14,tblData[],COLUMN(INDIRECT("tblData[[Day 6]]")),0)=0,"",VLOOKUP('Data Entry Form'!$CG14,tblData[],COLUMN(INDIRECT("tblData[[Day 6]]")),0)),"")</f>
        <v/>
      </c>
      <c r="L7" s="267" t="str">
        <f ca="1">IFERROR(IF(VLOOKUP('Data Entry Form'!$CG14,tblData[],COLUMN(INDIRECT("tblData[[Day 7]]")),0)=0,"",VLOOKUP('Data Entry Form'!$CG14,tblData[],COLUMN(INDIRECT("tblData[[Day 7]]")),0)),"")</f>
        <v/>
      </c>
      <c r="M7" s="267" t="str">
        <f ca="1">IFERROR(IF(VLOOKUP('Data Entry Form'!$CG14,tblData[],COLUMN(INDIRECT("tblData[[Day 8]]")),0)=0,"",VLOOKUP('Data Entry Form'!$CG14,tblData[],COLUMN(INDIRECT("tblData[[Day 8]]")),0)),"")</f>
        <v/>
      </c>
      <c r="N7" s="267" t="str">
        <f ca="1">IFERROR(IF(VLOOKUP('Data Entry Form'!$CG14,tblData[],COLUMN(INDIRECT("tblData[[Day 9]]")),0)=0,"",VLOOKUP('Data Entry Form'!$CG14,tblData[],COLUMN(INDIRECT("tblData[[Day 9]]")),0)),"")</f>
        <v/>
      </c>
    </row>
    <row r="8" spans="1:14" s="125" customFormat="1" ht="32.1" customHeight="1">
      <c r="A8" s="261" t="str">
        <f ca="1">IFERROR(VLOOKUP('Data Entry Form'!$CG15,tblData[],COLUMN(INDIRECT("tblData[[No]]")),0),"")</f>
        <v/>
      </c>
      <c r="B8" s="262" t="str">
        <f ca="1">IFERROR(VLOOKUP('Data Entry Form'!$CG15,tblData[],COLUMN(INDIRECT("tblData[[Surname]]")),0),"")</f>
        <v/>
      </c>
      <c r="C8" s="262" t="str">
        <f ca="1">IFERROR(VLOOKUP('Data Entry Form'!$CG15,tblData[],COLUMN(INDIRECT("tblData[[Given Name]]")),0),"")</f>
        <v/>
      </c>
      <c r="D8" s="262" t="str">
        <f ca="1">IFERROR(VLOOKUP('Data Entry Form'!$CG15,tblData[],COLUMN(INDIRECT("tblData[[Position]]")),0),"")</f>
        <v/>
      </c>
      <c r="E8" s="262" t="str">
        <f ca="1">IFERROR(VLOOKUP('Data Entry Form'!$CG15,tblData[],COLUMN(INDIRECT("tblData[[Gender]]")),0),"")</f>
        <v/>
      </c>
      <c r="F8" s="267" t="str">
        <f ca="1">IFERROR(IF(VLOOKUP('Data Entry Form'!$CG15,tblData[],COLUMN(INDIRECT("tblData[[Day 1]]")),0)=0,"",VLOOKUP('Data Entry Form'!$CG15,tblData[],COLUMN(INDIRECT("tblData[[Day 1]]")),0)),"")</f>
        <v/>
      </c>
      <c r="G8" s="267" t="str">
        <f ca="1">IFERROR(IF(VLOOKUP('Data Entry Form'!$CG15,tblData[],COLUMN(INDIRECT("tblData[[Day 2]]")),0)=0,"",VLOOKUP('Data Entry Form'!$CG15,tblData[],COLUMN(INDIRECT("tblData[[Day 2]]")),0)),"")</f>
        <v/>
      </c>
      <c r="H8" s="267" t="str">
        <f ca="1">IFERROR(IF(VLOOKUP('Data Entry Form'!$CG15,tblData[],COLUMN(INDIRECT("tblData[[Day 3]]")),0)=0,"",VLOOKUP('Data Entry Form'!$CG15,tblData[],COLUMN(INDIRECT("tblData[[Day 3]]")),0)),"")</f>
        <v/>
      </c>
      <c r="I8" s="267" t="str">
        <f ca="1">IFERROR(IF(VLOOKUP('Data Entry Form'!$CG15,tblData[],COLUMN(INDIRECT("tblData[[Day 4]]")),0)=0,"",VLOOKUP('Data Entry Form'!$CG15,tblData[],COLUMN(INDIRECT("tblData[[Day 4]]")),0)),"")</f>
        <v/>
      </c>
      <c r="J8" s="267" t="str">
        <f ca="1">IFERROR(IF(VLOOKUP('Data Entry Form'!$CG15,tblData[],COLUMN(INDIRECT("tblData[[Day 5]]")),0)=0,"",VLOOKUP('Data Entry Form'!$CG15,tblData[],COLUMN(INDIRECT("tblData[[Day 5]]")),0)),"")</f>
        <v/>
      </c>
      <c r="K8" s="267" t="str">
        <f ca="1">IFERROR(IF(VLOOKUP('Data Entry Form'!$CG15,tblData[],COLUMN(INDIRECT("tblData[[Day 6]]")),0)=0,"",VLOOKUP('Data Entry Form'!$CG15,tblData[],COLUMN(INDIRECT("tblData[[Day 6]]")),0)),"")</f>
        <v/>
      </c>
      <c r="L8" s="267" t="str">
        <f ca="1">IFERROR(IF(VLOOKUP('Data Entry Form'!$CG15,tblData[],COLUMN(INDIRECT("tblData[[Day 7]]")),0)=0,"",VLOOKUP('Data Entry Form'!$CG15,tblData[],COLUMN(INDIRECT("tblData[[Day 7]]")),0)),"")</f>
        <v/>
      </c>
      <c r="M8" s="267" t="str">
        <f ca="1">IFERROR(IF(VLOOKUP('Data Entry Form'!$CG15,tblData[],COLUMN(INDIRECT("tblData[[Day 8]]")),0)=0,"",VLOOKUP('Data Entry Form'!$CG15,tblData[],COLUMN(INDIRECT("tblData[[Day 8]]")),0)),"")</f>
        <v/>
      </c>
      <c r="N8" s="267" t="str">
        <f ca="1">IFERROR(IF(VLOOKUP('Data Entry Form'!$CG15,tblData[],COLUMN(INDIRECT("tblData[[Day 9]]")),0)=0,"",VLOOKUP('Data Entry Form'!$CG15,tblData[],COLUMN(INDIRECT("tblData[[Day 9]]")),0)),"")</f>
        <v/>
      </c>
    </row>
    <row r="9" spans="1:14" s="125" customFormat="1" ht="32.1" customHeight="1">
      <c r="A9" s="261" t="str">
        <f ca="1">IFERROR(VLOOKUP('Data Entry Form'!$CG16,tblData[],COLUMN(INDIRECT("tblData[[No]]")),0),"")</f>
        <v/>
      </c>
      <c r="B9" s="262" t="str">
        <f ca="1">IFERROR(VLOOKUP('Data Entry Form'!$CG16,tblData[],COLUMN(INDIRECT("tblData[[Surname]]")),0),"")</f>
        <v/>
      </c>
      <c r="C9" s="262" t="str">
        <f ca="1">IFERROR(VLOOKUP('Data Entry Form'!$CG16,tblData[],COLUMN(INDIRECT("tblData[[Given Name]]")),0),"")</f>
        <v/>
      </c>
      <c r="D9" s="262" t="str">
        <f ca="1">IFERROR(VLOOKUP('Data Entry Form'!$CG16,tblData[],COLUMN(INDIRECT("tblData[[Position]]")),0),"")</f>
        <v/>
      </c>
      <c r="E9" s="262" t="str">
        <f ca="1">IFERROR(VLOOKUP('Data Entry Form'!$CG16,tblData[],COLUMN(INDIRECT("tblData[[Gender]]")),0),"")</f>
        <v/>
      </c>
      <c r="F9" s="267" t="str">
        <f ca="1">IFERROR(IF(VLOOKUP('Data Entry Form'!$CG16,tblData[],COLUMN(INDIRECT("tblData[[Day 1]]")),0)=0,"",VLOOKUP('Data Entry Form'!$CG16,tblData[],COLUMN(INDIRECT("tblData[[Day 1]]")),0)),"")</f>
        <v/>
      </c>
      <c r="G9" s="267" t="str">
        <f ca="1">IFERROR(IF(VLOOKUP('Data Entry Form'!$CG16,tblData[],COLUMN(INDIRECT("tblData[[Day 2]]")),0)=0,"",VLOOKUP('Data Entry Form'!$CG16,tblData[],COLUMN(INDIRECT("tblData[[Day 2]]")),0)),"")</f>
        <v/>
      </c>
      <c r="H9" s="267" t="str">
        <f ca="1">IFERROR(IF(VLOOKUP('Data Entry Form'!$CG16,tblData[],COLUMN(INDIRECT("tblData[[Day 3]]")),0)=0,"",VLOOKUP('Data Entry Form'!$CG16,tblData[],COLUMN(INDIRECT("tblData[[Day 3]]")),0)),"")</f>
        <v/>
      </c>
      <c r="I9" s="267" t="str">
        <f ca="1">IFERROR(IF(VLOOKUP('Data Entry Form'!$CG16,tblData[],COLUMN(INDIRECT("tblData[[Day 4]]")),0)=0,"",VLOOKUP('Data Entry Form'!$CG16,tblData[],COLUMN(INDIRECT("tblData[[Day 4]]")),0)),"")</f>
        <v/>
      </c>
      <c r="J9" s="267" t="str">
        <f ca="1">IFERROR(IF(VLOOKUP('Data Entry Form'!$CG16,tblData[],COLUMN(INDIRECT("tblData[[Day 5]]")),0)=0,"",VLOOKUP('Data Entry Form'!$CG16,tblData[],COLUMN(INDIRECT("tblData[[Day 5]]")),0)),"")</f>
        <v/>
      </c>
      <c r="K9" s="267" t="str">
        <f ca="1">IFERROR(IF(VLOOKUP('Data Entry Form'!$CG16,tblData[],COLUMN(INDIRECT("tblData[[Day 6]]")),0)=0,"",VLOOKUP('Data Entry Form'!$CG16,tblData[],COLUMN(INDIRECT("tblData[[Day 6]]")),0)),"")</f>
        <v/>
      </c>
      <c r="L9" s="267" t="str">
        <f ca="1">IFERROR(IF(VLOOKUP('Data Entry Form'!$CG16,tblData[],COLUMN(INDIRECT("tblData[[Day 7]]")),0)=0,"",VLOOKUP('Data Entry Form'!$CG16,tblData[],COLUMN(INDIRECT("tblData[[Day 7]]")),0)),"")</f>
        <v/>
      </c>
      <c r="M9" s="267" t="str">
        <f ca="1">IFERROR(IF(VLOOKUP('Data Entry Form'!$CG16,tblData[],COLUMN(INDIRECT("tblData[[Day 8]]")),0)=0,"",VLOOKUP('Data Entry Form'!$CG16,tblData[],COLUMN(INDIRECT("tblData[[Day 8]]")),0)),"")</f>
        <v/>
      </c>
      <c r="N9" s="267" t="str">
        <f ca="1">IFERROR(IF(VLOOKUP('Data Entry Form'!$CG16,tblData[],COLUMN(INDIRECT("tblData[[Day 9]]")),0)=0,"",VLOOKUP('Data Entry Form'!$CG16,tblData[],COLUMN(INDIRECT("tblData[[Day 9]]")),0)),"")</f>
        <v/>
      </c>
    </row>
    <row r="10" spans="1:14" s="125" customFormat="1" ht="32.1" customHeight="1">
      <c r="A10" s="261" t="str">
        <f ca="1">IFERROR(VLOOKUP('Data Entry Form'!$CG17,tblData[],COLUMN(INDIRECT("tblData[[No]]")),0),"")</f>
        <v/>
      </c>
      <c r="B10" s="262" t="str">
        <f ca="1">IFERROR(VLOOKUP('Data Entry Form'!$CG17,tblData[],COLUMN(INDIRECT("tblData[[Surname]]")),0),"")</f>
        <v/>
      </c>
      <c r="C10" s="262" t="str">
        <f ca="1">IFERROR(VLOOKUP('Data Entry Form'!$CG17,tblData[],COLUMN(INDIRECT("tblData[[Given Name]]")),0),"")</f>
        <v/>
      </c>
      <c r="D10" s="262" t="str">
        <f ca="1">IFERROR(VLOOKUP('Data Entry Form'!$CG17,tblData[],COLUMN(INDIRECT("tblData[[Position]]")),0),"")</f>
        <v/>
      </c>
      <c r="E10" s="262" t="str">
        <f ca="1">IFERROR(VLOOKUP('Data Entry Form'!$CG17,tblData[],COLUMN(INDIRECT("tblData[[Gender]]")),0),"")</f>
        <v/>
      </c>
      <c r="F10" s="267" t="str">
        <f ca="1">IFERROR(IF(VLOOKUP('Data Entry Form'!$CG17,tblData[],COLUMN(INDIRECT("tblData[[Day 1]]")),0)=0,"",VLOOKUP('Data Entry Form'!$CG17,tblData[],COLUMN(INDIRECT("tblData[[Day 1]]")),0)),"")</f>
        <v/>
      </c>
      <c r="G10" s="267" t="str">
        <f ca="1">IFERROR(IF(VLOOKUP('Data Entry Form'!$CG17,tblData[],COLUMN(INDIRECT("tblData[[Day 2]]")),0)=0,"",VLOOKUP('Data Entry Form'!$CG17,tblData[],COLUMN(INDIRECT("tblData[[Day 2]]")),0)),"")</f>
        <v/>
      </c>
      <c r="H10" s="267" t="str">
        <f ca="1">IFERROR(IF(VLOOKUP('Data Entry Form'!$CG17,tblData[],COLUMN(INDIRECT("tblData[[Day 3]]")),0)=0,"",VLOOKUP('Data Entry Form'!$CG17,tblData[],COLUMN(INDIRECT("tblData[[Day 3]]")),0)),"")</f>
        <v/>
      </c>
      <c r="I10" s="267" t="str">
        <f ca="1">IFERROR(IF(VLOOKUP('Data Entry Form'!$CG17,tblData[],COLUMN(INDIRECT("tblData[[Day 4]]")),0)=0,"",VLOOKUP('Data Entry Form'!$CG17,tblData[],COLUMN(INDIRECT("tblData[[Day 4]]")),0)),"")</f>
        <v/>
      </c>
      <c r="J10" s="267" t="str">
        <f ca="1">IFERROR(IF(VLOOKUP('Data Entry Form'!$CG17,tblData[],COLUMN(INDIRECT("tblData[[Day 5]]")),0)=0,"",VLOOKUP('Data Entry Form'!$CG17,tblData[],COLUMN(INDIRECT("tblData[[Day 5]]")),0)),"")</f>
        <v/>
      </c>
      <c r="K10" s="267" t="str">
        <f ca="1">IFERROR(IF(VLOOKUP('Data Entry Form'!$CG17,tblData[],COLUMN(INDIRECT("tblData[[Day 6]]")),0)=0,"",VLOOKUP('Data Entry Form'!$CG17,tblData[],COLUMN(INDIRECT("tblData[[Day 6]]")),0)),"")</f>
        <v/>
      </c>
      <c r="L10" s="267" t="str">
        <f ca="1">IFERROR(IF(VLOOKUP('Data Entry Form'!$CG17,tblData[],COLUMN(INDIRECT("tblData[[Day 7]]")),0)=0,"",VLOOKUP('Data Entry Form'!$CG17,tblData[],COLUMN(INDIRECT("tblData[[Day 7]]")),0)),"")</f>
        <v/>
      </c>
      <c r="M10" s="267" t="str">
        <f ca="1">IFERROR(IF(VLOOKUP('Data Entry Form'!$CG17,tblData[],COLUMN(INDIRECT("tblData[[Day 8]]")),0)=0,"",VLOOKUP('Data Entry Form'!$CG17,tblData[],COLUMN(INDIRECT("tblData[[Day 8]]")),0)),"")</f>
        <v/>
      </c>
      <c r="N10" s="267" t="str">
        <f ca="1">IFERROR(IF(VLOOKUP('Data Entry Form'!$CG17,tblData[],COLUMN(INDIRECT("tblData[[Day 9]]")),0)=0,"",VLOOKUP('Data Entry Form'!$CG17,tblData[],COLUMN(INDIRECT("tblData[[Day 9]]")),0)),"")</f>
        <v/>
      </c>
    </row>
    <row r="11" spans="1:14" s="125" customFormat="1" ht="32.1" customHeight="1">
      <c r="A11" s="261" t="str">
        <f ca="1">IFERROR(VLOOKUP('Data Entry Form'!$CG18,tblData[],COLUMN(INDIRECT("tblData[[No]]")),0),"")</f>
        <v/>
      </c>
      <c r="B11" s="262" t="str">
        <f ca="1">IFERROR(VLOOKUP('Data Entry Form'!$CG18,tblData[],COLUMN(INDIRECT("tblData[[Surname]]")),0),"")</f>
        <v/>
      </c>
      <c r="C11" s="262" t="str">
        <f ca="1">IFERROR(VLOOKUP('Data Entry Form'!$CG18,tblData[],COLUMN(INDIRECT("tblData[[Given Name]]")),0),"")</f>
        <v/>
      </c>
      <c r="D11" s="262" t="str">
        <f ca="1">IFERROR(VLOOKUP('Data Entry Form'!$CG18,tblData[],COLUMN(INDIRECT("tblData[[Position]]")),0),"")</f>
        <v/>
      </c>
      <c r="E11" s="262" t="str">
        <f ca="1">IFERROR(VLOOKUP('Data Entry Form'!$CG18,tblData[],COLUMN(INDIRECT("tblData[[Gender]]")),0),"")</f>
        <v/>
      </c>
      <c r="F11" s="267" t="str">
        <f ca="1">IFERROR(IF(VLOOKUP('Data Entry Form'!$CG18,tblData[],COLUMN(INDIRECT("tblData[[Day 1]]")),0)=0,"",VLOOKUP('Data Entry Form'!$CG18,tblData[],COLUMN(INDIRECT("tblData[[Day 1]]")),0)),"")</f>
        <v/>
      </c>
      <c r="G11" s="267" t="str">
        <f ca="1">IFERROR(IF(VLOOKUP('Data Entry Form'!$CG18,tblData[],COLUMN(INDIRECT("tblData[[Day 2]]")),0)=0,"",VLOOKUP('Data Entry Form'!$CG18,tblData[],COLUMN(INDIRECT("tblData[[Day 2]]")),0)),"")</f>
        <v/>
      </c>
      <c r="H11" s="267" t="str">
        <f ca="1">IFERROR(IF(VLOOKUP('Data Entry Form'!$CG18,tblData[],COLUMN(INDIRECT("tblData[[Day 3]]")),0)=0,"",VLOOKUP('Data Entry Form'!$CG18,tblData[],COLUMN(INDIRECT("tblData[[Day 3]]")),0)),"")</f>
        <v/>
      </c>
      <c r="I11" s="267" t="str">
        <f ca="1">IFERROR(IF(VLOOKUP('Data Entry Form'!$CG18,tblData[],COLUMN(INDIRECT("tblData[[Day 4]]")),0)=0,"",VLOOKUP('Data Entry Form'!$CG18,tblData[],COLUMN(INDIRECT("tblData[[Day 4]]")),0)),"")</f>
        <v/>
      </c>
      <c r="J11" s="267" t="str">
        <f ca="1">IFERROR(IF(VLOOKUP('Data Entry Form'!$CG18,tblData[],COLUMN(INDIRECT("tblData[[Day 5]]")),0)=0,"",VLOOKUP('Data Entry Form'!$CG18,tblData[],COLUMN(INDIRECT("tblData[[Day 5]]")),0)),"")</f>
        <v/>
      </c>
      <c r="K11" s="267" t="str">
        <f ca="1">IFERROR(IF(VLOOKUP('Data Entry Form'!$CG18,tblData[],COLUMN(INDIRECT("tblData[[Day 6]]")),0)=0,"",VLOOKUP('Data Entry Form'!$CG18,tblData[],COLUMN(INDIRECT("tblData[[Day 6]]")),0)),"")</f>
        <v/>
      </c>
      <c r="L11" s="267" t="str">
        <f ca="1">IFERROR(IF(VLOOKUP('Data Entry Form'!$CG18,tblData[],COLUMN(INDIRECT("tblData[[Day 7]]")),0)=0,"",VLOOKUP('Data Entry Form'!$CG18,tblData[],COLUMN(INDIRECT("tblData[[Day 7]]")),0)),"")</f>
        <v/>
      </c>
      <c r="M11" s="267" t="str">
        <f ca="1">IFERROR(IF(VLOOKUP('Data Entry Form'!$CG18,tblData[],COLUMN(INDIRECT("tblData[[Day 8]]")),0)=0,"",VLOOKUP('Data Entry Form'!$CG18,tblData[],COLUMN(INDIRECT("tblData[[Day 8]]")),0)),"")</f>
        <v/>
      </c>
      <c r="N11" s="267" t="str">
        <f ca="1">IFERROR(IF(VLOOKUP('Data Entry Form'!$CG18,tblData[],COLUMN(INDIRECT("tblData[[Day 9]]")),0)=0,"",VLOOKUP('Data Entry Form'!$CG18,tblData[],COLUMN(INDIRECT("tblData[[Day 9]]")),0)),"")</f>
        <v/>
      </c>
    </row>
    <row r="12" spans="1:14" s="125" customFormat="1" ht="32.1" customHeight="1">
      <c r="A12" s="261" t="str">
        <f ca="1">IFERROR(VLOOKUP('Data Entry Form'!$CG19,tblData[],COLUMN(INDIRECT("tblData[[No]]")),0),"")</f>
        <v/>
      </c>
      <c r="B12" s="262" t="str">
        <f ca="1">IFERROR(VLOOKUP('Data Entry Form'!$CG19,tblData[],COLUMN(INDIRECT("tblData[[Surname]]")),0),"")</f>
        <v/>
      </c>
      <c r="C12" s="262" t="str">
        <f ca="1">IFERROR(VLOOKUP('Data Entry Form'!$CG19,tblData[],COLUMN(INDIRECT("tblData[[Given Name]]")),0),"")</f>
        <v/>
      </c>
      <c r="D12" s="262" t="str">
        <f ca="1">IFERROR(VLOOKUP('Data Entry Form'!$CG19,tblData[],COLUMN(INDIRECT("tblData[[Position]]")),0),"")</f>
        <v/>
      </c>
      <c r="E12" s="262" t="str">
        <f ca="1">IFERROR(VLOOKUP('Data Entry Form'!$CG19,tblData[],COLUMN(INDIRECT("tblData[[Gender]]")),0),"")</f>
        <v/>
      </c>
      <c r="F12" s="267" t="str">
        <f ca="1">IFERROR(IF(VLOOKUP('Data Entry Form'!$CG19,tblData[],COLUMN(INDIRECT("tblData[[Day 1]]")),0)=0,"",VLOOKUP('Data Entry Form'!$CG19,tblData[],COLUMN(INDIRECT("tblData[[Day 1]]")),0)),"")</f>
        <v/>
      </c>
      <c r="G12" s="267" t="str">
        <f ca="1">IFERROR(IF(VLOOKUP('Data Entry Form'!$CG19,tblData[],COLUMN(INDIRECT("tblData[[Day 2]]")),0)=0,"",VLOOKUP('Data Entry Form'!$CG19,tblData[],COLUMN(INDIRECT("tblData[[Day 2]]")),0)),"")</f>
        <v/>
      </c>
      <c r="H12" s="267" t="str">
        <f ca="1">IFERROR(IF(VLOOKUP('Data Entry Form'!$CG19,tblData[],COLUMN(INDIRECT("tblData[[Day 3]]")),0)=0,"",VLOOKUP('Data Entry Form'!$CG19,tblData[],COLUMN(INDIRECT("tblData[[Day 3]]")),0)),"")</f>
        <v/>
      </c>
      <c r="I12" s="267" t="str">
        <f ca="1">IFERROR(IF(VLOOKUP('Data Entry Form'!$CG19,tblData[],COLUMN(INDIRECT("tblData[[Day 4]]")),0)=0,"",VLOOKUP('Data Entry Form'!$CG19,tblData[],COLUMN(INDIRECT("tblData[[Day 4]]")),0)),"")</f>
        <v/>
      </c>
      <c r="J12" s="267" t="str">
        <f ca="1">IFERROR(IF(VLOOKUP('Data Entry Form'!$CG19,tblData[],COLUMN(INDIRECT("tblData[[Day 5]]")),0)=0,"",VLOOKUP('Data Entry Form'!$CG19,tblData[],COLUMN(INDIRECT("tblData[[Day 5]]")),0)),"")</f>
        <v/>
      </c>
      <c r="K12" s="267" t="str">
        <f ca="1">IFERROR(IF(VLOOKUP('Data Entry Form'!$CG19,tblData[],COLUMN(INDIRECT("tblData[[Day 6]]")),0)=0,"",VLOOKUP('Data Entry Form'!$CG19,tblData[],COLUMN(INDIRECT("tblData[[Day 6]]")),0)),"")</f>
        <v/>
      </c>
      <c r="L12" s="267" t="str">
        <f ca="1">IFERROR(IF(VLOOKUP('Data Entry Form'!$CG19,tblData[],COLUMN(INDIRECT("tblData[[Day 7]]")),0)=0,"",VLOOKUP('Data Entry Form'!$CG19,tblData[],COLUMN(INDIRECT("tblData[[Day 7]]")),0)),"")</f>
        <v/>
      </c>
      <c r="M12" s="267" t="str">
        <f ca="1">IFERROR(IF(VLOOKUP('Data Entry Form'!$CG19,tblData[],COLUMN(INDIRECT("tblData[[Day 8]]")),0)=0,"",VLOOKUP('Data Entry Form'!$CG19,tblData[],COLUMN(INDIRECT("tblData[[Day 8]]")),0)),"")</f>
        <v/>
      </c>
      <c r="N12" s="267" t="str">
        <f ca="1">IFERROR(IF(VLOOKUP('Data Entry Form'!$CG19,tblData[],COLUMN(INDIRECT("tblData[[Day 9]]")),0)=0,"",VLOOKUP('Data Entry Form'!$CG19,tblData[],COLUMN(INDIRECT("tblData[[Day 9]]")),0)),"")</f>
        <v/>
      </c>
    </row>
    <row r="13" spans="1:14" s="125" customFormat="1" ht="32.1" customHeight="1">
      <c r="A13" s="261" t="str">
        <f ca="1">IFERROR(VLOOKUP('Data Entry Form'!$CG20,tblData[],COLUMN(INDIRECT("tblData[[No]]")),0),"")</f>
        <v/>
      </c>
      <c r="B13" s="262" t="str">
        <f ca="1">IFERROR(VLOOKUP('Data Entry Form'!$CG20,tblData[],COLUMN(INDIRECT("tblData[[Surname]]")),0),"")</f>
        <v/>
      </c>
      <c r="C13" s="262" t="str">
        <f ca="1">IFERROR(VLOOKUP('Data Entry Form'!$CG20,tblData[],COLUMN(INDIRECT("tblData[[Given Name]]")),0),"")</f>
        <v/>
      </c>
      <c r="D13" s="262" t="str">
        <f ca="1">IFERROR(VLOOKUP('Data Entry Form'!$CG20,tblData[],COLUMN(INDIRECT("tblData[[Position]]")),0),"")</f>
        <v/>
      </c>
      <c r="E13" s="262" t="str">
        <f ca="1">IFERROR(VLOOKUP('Data Entry Form'!$CG20,tblData[],COLUMN(INDIRECT("tblData[[Gender]]")),0),"")</f>
        <v/>
      </c>
      <c r="F13" s="267" t="str">
        <f ca="1">IFERROR(IF(VLOOKUP('Data Entry Form'!$CG20,tblData[],COLUMN(INDIRECT("tblData[[Day 1]]")),0)=0,"",VLOOKUP('Data Entry Form'!$CG20,tblData[],COLUMN(INDIRECT("tblData[[Day 1]]")),0)),"")</f>
        <v/>
      </c>
      <c r="G13" s="267" t="str">
        <f ca="1">IFERROR(IF(VLOOKUP('Data Entry Form'!$CG20,tblData[],COLUMN(INDIRECT("tblData[[Day 2]]")),0)=0,"",VLOOKUP('Data Entry Form'!$CG20,tblData[],COLUMN(INDIRECT("tblData[[Day 2]]")),0)),"")</f>
        <v/>
      </c>
      <c r="H13" s="267" t="str">
        <f ca="1">IFERROR(IF(VLOOKUP('Data Entry Form'!$CG20,tblData[],COLUMN(INDIRECT("tblData[[Day 3]]")),0)=0,"",VLOOKUP('Data Entry Form'!$CG20,tblData[],COLUMN(INDIRECT("tblData[[Day 3]]")),0)),"")</f>
        <v/>
      </c>
      <c r="I13" s="267" t="str">
        <f ca="1">IFERROR(IF(VLOOKUP('Data Entry Form'!$CG20,tblData[],COLUMN(INDIRECT("tblData[[Day 4]]")),0)=0,"",VLOOKUP('Data Entry Form'!$CG20,tblData[],COLUMN(INDIRECT("tblData[[Day 4]]")),0)),"")</f>
        <v/>
      </c>
      <c r="J13" s="267" t="str">
        <f ca="1">IFERROR(IF(VLOOKUP('Data Entry Form'!$CG20,tblData[],COLUMN(INDIRECT("tblData[[Day 5]]")),0)=0,"",VLOOKUP('Data Entry Form'!$CG20,tblData[],COLUMN(INDIRECT("tblData[[Day 5]]")),0)),"")</f>
        <v/>
      </c>
      <c r="K13" s="267" t="str">
        <f ca="1">IFERROR(IF(VLOOKUP('Data Entry Form'!$CG20,tblData[],COLUMN(INDIRECT("tblData[[Day 6]]")),0)=0,"",VLOOKUP('Data Entry Form'!$CG20,tblData[],COLUMN(INDIRECT("tblData[[Day 6]]")),0)),"")</f>
        <v/>
      </c>
      <c r="L13" s="267" t="str">
        <f ca="1">IFERROR(IF(VLOOKUP('Data Entry Form'!$CG20,tblData[],COLUMN(INDIRECT("tblData[[Day 7]]")),0)=0,"",VLOOKUP('Data Entry Form'!$CG20,tblData[],COLUMN(INDIRECT("tblData[[Day 7]]")),0)),"")</f>
        <v/>
      </c>
      <c r="M13" s="267" t="str">
        <f ca="1">IFERROR(IF(VLOOKUP('Data Entry Form'!$CG20,tblData[],COLUMN(INDIRECT("tblData[[Day 8]]")),0)=0,"",VLOOKUP('Data Entry Form'!$CG20,tblData[],COLUMN(INDIRECT("tblData[[Day 8]]")),0)),"")</f>
        <v/>
      </c>
      <c r="N13" s="267" t="str">
        <f ca="1">IFERROR(IF(VLOOKUP('Data Entry Form'!$CG20,tblData[],COLUMN(INDIRECT("tblData[[Day 9]]")),0)=0,"",VLOOKUP('Data Entry Form'!$CG20,tblData[],COLUMN(INDIRECT("tblData[[Day 9]]")),0)),"")</f>
        <v/>
      </c>
    </row>
    <row r="14" spans="1:14" s="125" customFormat="1" ht="32.1" customHeight="1">
      <c r="A14" s="261" t="str">
        <f ca="1">IFERROR(VLOOKUP('Data Entry Form'!$CG21,tblData[],COLUMN(INDIRECT("tblData[[No]]")),0),"")</f>
        <v/>
      </c>
      <c r="B14" s="262" t="str">
        <f ca="1">IFERROR(VLOOKUP('Data Entry Form'!$CG21,tblData[],COLUMN(INDIRECT("tblData[[Surname]]")),0),"")</f>
        <v/>
      </c>
      <c r="C14" s="262" t="str">
        <f ca="1">IFERROR(VLOOKUP('Data Entry Form'!$CG21,tblData[],COLUMN(INDIRECT("tblData[[Given Name]]")),0),"")</f>
        <v/>
      </c>
      <c r="D14" s="262" t="str">
        <f ca="1">IFERROR(VLOOKUP('Data Entry Form'!$CG21,tblData[],COLUMN(INDIRECT("tblData[[Position]]")),0),"")</f>
        <v/>
      </c>
      <c r="E14" s="262" t="str">
        <f ca="1">IFERROR(VLOOKUP('Data Entry Form'!$CG21,tblData[],COLUMN(INDIRECT("tblData[[Gender]]")),0),"")</f>
        <v/>
      </c>
      <c r="F14" s="267" t="str">
        <f ca="1">IFERROR(IF(VLOOKUP('Data Entry Form'!$CG21,tblData[],COLUMN(INDIRECT("tblData[[Day 1]]")),0)=0,"",VLOOKUP('Data Entry Form'!$CG21,tblData[],COLUMN(INDIRECT("tblData[[Day 1]]")),0)),"")</f>
        <v/>
      </c>
      <c r="G14" s="267" t="str">
        <f ca="1">IFERROR(IF(VLOOKUP('Data Entry Form'!$CG21,tblData[],COLUMN(INDIRECT("tblData[[Day 2]]")),0)=0,"",VLOOKUP('Data Entry Form'!$CG21,tblData[],COLUMN(INDIRECT("tblData[[Day 2]]")),0)),"")</f>
        <v/>
      </c>
      <c r="H14" s="267" t="str">
        <f ca="1">IFERROR(IF(VLOOKUP('Data Entry Form'!$CG21,tblData[],COLUMN(INDIRECT("tblData[[Day 3]]")),0)=0,"",VLOOKUP('Data Entry Form'!$CG21,tblData[],COLUMN(INDIRECT("tblData[[Day 3]]")),0)),"")</f>
        <v/>
      </c>
      <c r="I14" s="267" t="str">
        <f ca="1">IFERROR(IF(VLOOKUP('Data Entry Form'!$CG21,tblData[],COLUMN(INDIRECT("tblData[[Day 4]]")),0)=0,"",VLOOKUP('Data Entry Form'!$CG21,tblData[],COLUMN(INDIRECT("tblData[[Day 4]]")),0)),"")</f>
        <v/>
      </c>
      <c r="J14" s="267" t="str">
        <f ca="1">IFERROR(IF(VLOOKUP('Data Entry Form'!$CG21,tblData[],COLUMN(INDIRECT("tblData[[Day 5]]")),0)=0,"",VLOOKUP('Data Entry Form'!$CG21,tblData[],COLUMN(INDIRECT("tblData[[Day 5]]")),0)),"")</f>
        <v/>
      </c>
      <c r="K14" s="267" t="str">
        <f ca="1">IFERROR(IF(VLOOKUP('Data Entry Form'!$CG21,tblData[],COLUMN(INDIRECT("tblData[[Day 6]]")),0)=0,"",VLOOKUP('Data Entry Form'!$CG21,tblData[],COLUMN(INDIRECT("tblData[[Day 6]]")),0)),"")</f>
        <v/>
      </c>
      <c r="L14" s="267" t="str">
        <f ca="1">IFERROR(IF(VLOOKUP('Data Entry Form'!$CG21,tblData[],COLUMN(INDIRECT("tblData[[Day 7]]")),0)=0,"",VLOOKUP('Data Entry Form'!$CG21,tblData[],COLUMN(INDIRECT("tblData[[Day 7]]")),0)),"")</f>
        <v/>
      </c>
      <c r="M14" s="267" t="str">
        <f ca="1">IFERROR(IF(VLOOKUP('Data Entry Form'!$CG21,tblData[],COLUMN(INDIRECT("tblData[[Day 8]]")),0)=0,"",VLOOKUP('Data Entry Form'!$CG21,tblData[],COLUMN(INDIRECT("tblData[[Day 8]]")),0)),"")</f>
        <v/>
      </c>
      <c r="N14" s="267" t="str">
        <f ca="1">IFERROR(IF(VLOOKUP('Data Entry Form'!$CG21,tblData[],COLUMN(INDIRECT("tblData[[Day 9]]")),0)=0,"",VLOOKUP('Data Entry Form'!$CG21,tblData[],COLUMN(INDIRECT("tblData[[Day 9]]")),0)),"")</f>
        <v/>
      </c>
    </row>
    <row r="15" spans="1:14" s="125" customFormat="1" ht="32.1" customHeight="1">
      <c r="A15" s="261" t="str">
        <f ca="1">IFERROR(VLOOKUP('Data Entry Form'!$CG22,tblData[],COLUMN(INDIRECT("tblData[[No]]")),0),"")</f>
        <v/>
      </c>
      <c r="B15" s="262" t="str">
        <f ca="1">IFERROR(VLOOKUP('Data Entry Form'!$CG22,tblData[],COLUMN(INDIRECT("tblData[[Surname]]")),0),"")</f>
        <v/>
      </c>
      <c r="C15" s="262" t="str">
        <f ca="1">IFERROR(VLOOKUP('Data Entry Form'!$CG22,tblData[],COLUMN(INDIRECT("tblData[[Given Name]]")),0),"")</f>
        <v/>
      </c>
      <c r="D15" s="262" t="str">
        <f ca="1">IFERROR(VLOOKUP('Data Entry Form'!$CG22,tblData[],COLUMN(INDIRECT("tblData[[Position]]")),0),"")</f>
        <v/>
      </c>
      <c r="E15" s="262" t="str">
        <f ca="1">IFERROR(VLOOKUP('Data Entry Form'!$CG22,tblData[],COLUMN(INDIRECT("tblData[[Gender]]")),0),"")</f>
        <v/>
      </c>
      <c r="F15" s="267" t="str">
        <f ca="1">IFERROR(IF(VLOOKUP('Data Entry Form'!$CG22,tblData[],COLUMN(INDIRECT("tblData[[Day 1]]")),0)=0,"",VLOOKUP('Data Entry Form'!$CG22,tblData[],COLUMN(INDIRECT("tblData[[Day 1]]")),0)),"")</f>
        <v/>
      </c>
      <c r="G15" s="267" t="str">
        <f ca="1">IFERROR(IF(VLOOKUP('Data Entry Form'!$CG22,tblData[],COLUMN(INDIRECT("tblData[[Day 2]]")),0)=0,"",VLOOKUP('Data Entry Form'!$CG22,tblData[],COLUMN(INDIRECT("tblData[[Day 2]]")),0)),"")</f>
        <v/>
      </c>
      <c r="H15" s="267" t="str">
        <f ca="1">IFERROR(IF(VLOOKUP('Data Entry Form'!$CG22,tblData[],COLUMN(INDIRECT("tblData[[Day 3]]")),0)=0,"",VLOOKUP('Data Entry Form'!$CG22,tblData[],COLUMN(INDIRECT("tblData[[Day 3]]")),0)),"")</f>
        <v/>
      </c>
      <c r="I15" s="267" t="str">
        <f ca="1">IFERROR(IF(VLOOKUP('Data Entry Form'!$CG22,tblData[],COLUMN(INDIRECT("tblData[[Day 4]]")),0)=0,"",VLOOKUP('Data Entry Form'!$CG22,tblData[],COLUMN(INDIRECT("tblData[[Day 4]]")),0)),"")</f>
        <v/>
      </c>
      <c r="J15" s="267" t="str">
        <f ca="1">IFERROR(IF(VLOOKUP('Data Entry Form'!$CG22,tblData[],COLUMN(INDIRECT("tblData[[Day 5]]")),0)=0,"",VLOOKUP('Data Entry Form'!$CG22,tblData[],COLUMN(INDIRECT("tblData[[Day 5]]")),0)),"")</f>
        <v/>
      </c>
      <c r="K15" s="267" t="str">
        <f ca="1">IFERROR(IF(VLOOKUP('Data Entry Form'!$CG22,tblData[],COLUMN(INDIRECT("tblData[[Day 6]]")),0)=0,"",VLOOKUP('Data Entry Form'!$CG22,tblData[],COLUMN(INDIRECT("tblData[[Day 6]]")),0)),"")</f>
        <v/>
      </c>
      <c r="L15" s="267" t="str">
        <f ca="1">IFERROR(IF(VLOOKUP('Data Entry Form'!$CG22,tblData[],COLUMN(INDIRECT("tblData[[Day 7]]")),0)=0,"",VLOOKUP('Data Entry Form'!$CG22,tblData[],COLUMN(INDIRECT("tblData[[Day 7]]")),0)),"")</f>
        <v/>
      </c>
      <c r="M15" s="267" t="str">
        <f ca="1">IFERROR(IF(VLOOKUP('Data Entry Form'!$CG22,tblData[],COLUMN(INDIRECT("tblData[[Day 8]]")),0)=0,"",VLOOKUP('Data Entry Form'!$CG22,tblData[],COLUMN(INDIRECT("tblData[[Day 8]]")),0)),"")</f>
        <v/>
      </c>
      <c r="N15" s="267" t="str">
        <f ca="1">IFERROR(IF(VLOOKUP('Data Entry Form'!$CG22,tblData[],COLUMN(INDIRECT("tblData[[Day 9]]")),0)=0,"",VLOOKUP('Data Entry Form'!$CG22,tblData[],COLUMN(INDIRECT("tblData[[Day 9]]")),0)),"")</f>
        <v/>
      </c>
    </row>
    <row r="16" spans="1:14" s="125" customFormat="1" ht="32.1" customHeight="1">
      <c r="A16" s="261" t="str">
        <f ca="1">IFERROR(VLOOKUP('Data Entry Form'!$CG23,tblData[],COLUMN(INDIRECT("tblData[[No]]")),0),"")</f>
        <v/>
      </c>
      <c r="B16" s="262" t="str">
        <f ca="1">IFERROR(VLOOKUP('Data Entry Form'!$CG23,tblData[],COLUMN(INDIRECT("tblData[[Surname]]")),0),"")</f>
        <v/>
      </c>
      <c r="C16" s="262" t="str">
        <f ca="1">IFERROR(VLOOKUP('Data Entry Form'!$CG23,tblData[],COLUMN(INDIRECT("tblData[[Given Name]]")),0),"")</f>
        <v/>
      </c>
      <c r="D16" s="262" t="str">
        <f ca="1">IFERROR(VLOOKUP('Data Entry Form'!$CG23,tblData[],COLUMN(INDIRECT("tblData[[Position]]")),0),"")</f>
        <v/>
      </c>
      <c r="E16" s="262" t="str">
        <f ca="1">IFERROR(VLOOKUP('Data Entry Form'!$CG23,tblData[],COLUMN(INDIRECT("tblData[[Gender]]")),0),"")</f>
        <v/>
      </c>
      <c r="F16" s="267" t="str">
        <f ca="1">IFERROR(IF(VLOOKUP('Data Entry Form'!$CG23,tblData[],COLUMN(INDIRECT("tblData[[Day 1]]")),0)=0,"",VLOOKUP('Data Entry Form'!$CG23,tblData[],COLUMN(INDIRECT("tblData[[Day 1]]")),0)),"")</f>
        <v/>
      </c>
      <c r="G16" s="267" t="str">
        <f ca="1">IFERROR(IF(VLOOKUP('Data Entry Form'!$CG23,tblData[],COLUMN(INDIRECT("tblData[[Day 2]]")),0)=0,"",VLOOKUP('Data Entry Form'!$CG23,tblData[],COLUMN(INDIRECT("tblData[[Day 2]]")),0)),"")</f>
        <v/>
      </c>
      <c r="H16" s="267" t="str">
        <f ca="1">IFERROR(IF(VLOOKUP('Data Entry Form'!$CG23,tblData[],COLUMN(INDIRECT("tblData[[Day 3]]")),0)=0,"",VLOOKUP('Data Entry Form'!$CG23,tblData[],COLUMN(INDIRECT("tblData[[Day 3]]")),0)),"")</f>
        <v/>
      </c>
      <c r="I16" s="267" t="str">
        <f ca="1">IFERROR(IF(VLOOKUP('Data Entry Form'!$CG23,tblData[],COLUMN(INDIRECT("tblData[[Day 4]]")),0)=0,"",VLOOKUP('Data Entry Form'!$CG23,tblData[],COLUMN(INDIRECT("tblData[[Day 4]]")),0)),"")</f>
        <v/>
      </c>
      <c r="J16" s="267" t="str">
        <f ca="1">IFERROR(IF(VLOOKUP('Data Entry Form'!$CG23,tblData[],COLUMN(INDIRECT("tblData[[Day 5]]")),0)=0,"",VLOOKUP('Data Entry Form'!$CG23,tblData[],COLUMN(INDIRECT("tblData[[Day 5]]")),0)),"")</f>
        <v/>
      </c>
      <c r="K16" s="267" t="str">
        <f ca="1">IFERROR(IF(VLOOKUP('Data Entry Form'!$CG23,tblData[],COLUMN(INDIRECT("tblData[[Day 6]]")),0)=0,"",VLOOKUP('Data Entry Form'!$CG23,tblData[],COLUMN(INDIRECT("tblData[[Day 6]]")),0)),"")</f>
        <v/>
      </c>
      <c r="L16" s="267" t="str">
        <f ca="1">IFERROR(IF(VLOOKUP('Data Entry Form'!$CG23,tblData[],COLUMN(INDIRECT("tblData[[Day 7]]")),0)=0,"",VLOOKUP('Data Entry Form'!$CG23,tblData[],COLUMN(INDIRECT("tblData[[Day 7]]")),0)),"")</f>
        <v/>
      </c>
      <c r="M16" s="267" t="str">
        <f ca="1">IFERROR(IF(VLOOKUP('Data Entry Form'!$CG23,tblData[],COLUMN(INDIRECT("tblData[[Day 8]]")),0)=0,"",VLOOKUP('Data Entry Form'!$CG23,tblData[],COLUMN(INDIRECT("tblData[[Day 8]]")),0)),"")</f>
        <v/>
      </c>
      <c r="N16" s="267" t="str">
        <f ca="1">IFERROR(IF(VLOOKUP('Data Entry Form'!$CG23,tblData[],COLUMN(INDIRECT("tblData[[Day 9]]")),0)=0,"",VLOOKUP('Data Entry Form'!$CG23,tblData[],COLUMN(INDIRECT("tblData[[Day 9]]")),0)),"")</f>
        <v/>
      </c>
    </row>
    <row r="17" spans="1:14" s="125" customFormat="1" ht="32.1" customHeight="1">
      <c r="A17" s="261" t="str">
        <f ca="1">IFERROR(VLOOKUP('Data Entry Form'!$CG24,tblData[],COLUMN(INDIRECT("tblData[[No]]")),0),"")</f>
        <v/>
      </c>
      <c r="B17" s="262" t="str">
        <f ca="1">IFERROR(VLOOKUP('Data Entry Form'!$CG24,tblData[],COLUMN(INDIRECT("tblData[[Surname]]")),0),"")</f>
        <v/>
      </c>
      <c r="C17" s="262" t="str">
        <f ca="1">IFERROR(VLOOKUP('Data Entry Form'!$CG24,tblData[],COLUMN(INDIRECT("tblData[[Given Name]]")),0),"")</f>
        <v/>
      </c>
      <c r="D17" s="262" t="str">
        <f ca="1">IFERROR(VLOOKUP('Data Entry Form'!$CG24,tblData[],COLUMN(INDIRECT("tblData[[Position]]")),0),"")</f>
        <v/>
      </c>
      <c r="E17" s="262" t="str">
        <f ca="1">IFERROR(VLOOKUP('Data Entry Form'!$CG24,tblData[],COLUMN(INDIRECT("tblData[[Gender]]")),0),"")</f>
        <v/>
      </c>
      <c r="F17" s="267" t="str">
        <f ca="1">IFERROR(IF(VLOOKUP('Data Entry Form'!$CG24,tblData[],COLUMN(INDIRECT("tblData[[Day 1]]")),0)=0,"",VLOOKUP('Data Entry Form'!$CG24,tblData[],COLUMN(INDIRECT("tblData[[Day 1]]")),0)),"")</f>
        <v/>
      </c>
      <c r="G17" s="267" t="str">
        <f ca="1">IFERROR(IF(VLOOKUP('Data Entry Form'!$CG24,tblData[],COLUMN(INDIRECT("tblData[[Day 2]]")),0)=0,"",VLOOKUP('Data Entry Form'!$CG24,tblData[],COLUMN(INDIRECT("tblData[[Day 2]]")),0)),"")</f>
        <v/>
      </c>
      <c r="H17" s="267" t="str">
        <f ca="1">IFERROR(IF(VLOOKUP('Data Entry Form'!$CG24,tblData[],COLUMN(INDIRECT("tblData[[Day 3]]")),0)=0,"",VLOOKUP('Data Entry Form'!$CG24,tblData[],COLUMN(INDIRECT("tblData[[Day 3]]")),0)),"")</f>
        <v/>
      </c>
      <c r="I17" s="267" t="str">
        <f ca="1">IFERROR(IF(VLOOKUP('Data Entry Form'!$CG24,tblData[],COLUMN(INDIRECT("tblData[[Day 4]]")),0)=0,"",VLOOKUP('Data Entry Form'!$CG24,tblData[],COLUMN(INDIRECT("tblData[[Day 4]]")),0)),"")</f>
        <v/>
      </c>
      <c r="J17" s="267" t="str">
        <f ca="1">IFERROR(IF(VLOOKUP('Data Entry Form'!$CG24,tblData[],COLUMN(INDIRECT("tblData[[Day 5]]")),0)=0,"",VLOOKUP('Data Entry Form'!$CG24,tblData[],COLUMN(INDIRECT("tblData[[Day 5]]")),0)),"")</f>
        <v/>
      </c>
      <c r="K17" s="267" t="str">
        <f ca="1">IFERROR(IF(VLOOKUP('Data Entry Form'!$CG24,tblData[],COLUMN(INDIRECT("tblData[[Day 6]]")),0)=0,"",VLOOKUP('Data Entry Form'!$CG24,tblData[],COLUMN(INDIRECT("tblData[[Day 6]]")),0)),"")</f>
        <v/>
      </c>
      <c r="L17" s="267" t="str">
        <f ca="1">IFERROR(IF(VLOOKUP('Data Entry Form'!$CG24,tblData[],COLUMN(INDIRECT("tblData[[Day 7]]")),0)=0,"",VLOOKUP('Data Entry Form'!$CG24,tblData[],COLUMN(INDIRECT("tblData[[Day 7]]")),0)),"")</f>
        <v/>
      </c>
      <c r="M17" s="267" t="str">
        <f ca="1">IFERROR(IF(VLOOKUP('Data Entry Form'!$CG24,tblData[],COLUMN(INDIRECT("tblData[[Day 8]]")),0)=0,"",VLOOKUP('Data Entry Form'!$CG24,tblData[],COLUMN(INDIRECT("tblData[[Day 8]]")),0)),"")</f>
        <v/>
      </c>
      <c r="N17" s="267" t="str">
        <f ca="1">IFERROR(IF(VLOOKUP('Data Entry Form'!$CG24,tblData[],COLUMN(INDIRECT("tblData[[Day 9]]")),0)=0,"",VLOOKUP('Data Entry Form'!$CG24,tblData[],COLUMN(INDIRECT("tblData[[Day 9]]")),0)),"")</f>
        <v/>
      </c>
    </row>
    <row r="18" spans="1:14" s="125" customFormat="1" ht="32.1" customHeight="1">
      <c r="A18" s="261" t="str">
        <f ca="1">IFERROR(VLOOKUP('Data Entry Form'!$CG25,tblData[],COLUMN(INDIRECT("tblData[[No]]")),0),"")</f>
        <v/>
      </c>
      <c r="B18" s="262" t="str">
        <f ca="1">IFERROR(VLOOKUP('Data Entry Form'!$CG25,tblData[],COLUMN(INDIRECT("tblData[[Surname]]")),0),"")</f>
        <v/>
      </c>
      <c r="C18" s="262" t="str">
        <f ca="1">IFERROR(VLOOKUP('Data Entry Form'!$CG25,tblData[],COLUMN(INDIRECT("tblData[[Given Name]]")),0),"")</f>
        <v/>
      </c>
      <c r="D18" s="262" t="str">
        <f ca="1">IFERROR(VLOOKUP('Data Entry Form'!$CG25,tblData[],COLUMN(INDIRECT("tblData[[Position]]")),0),"")</f>
        <v/>
      </c>
      <c r="E18" s="262" t="str">
        <f ca="1">IFERROR(VLOOKUP('Data Entry Form'!$CG25,tblData[],COLUMN(INDIRECT("tblData[[Gender]]")),0),"")</f>
        <v/>
      </c>
      <c r="F18" s="267" t="str">
        <f ca="1">IFERROR(IF(VLOOKUP('Data Entry Form'!$CG25,tblData[],COLUMN(INDIRECT("tblData[[Day 1]]")),0)=0,"",VLOOKUP('Data Entry Form'!$CG25,tblData[],COLUMN(INDIRECT("tblData[[Day 1]]")),0)),"")</f>
        <v/>
      </c>
      <c r="G18" s="267" t="str">
        <f ca="1">IFERROR(IF(VLOOKUP('Data Entry Form'!$CG25,tblData[],COLUMN(INDIRECT("tblData[[Day 2]]")),0)=0,"",VLOOKUP('Data Entry Form'!$CG25,tblData[],COLUMN(INDIRECT("tblData[[Day 2]]")),0)),"")</f>
        <v/>
      </c>
      <c r="H18" s="267" t="str">
        <f ca="1">IFERROR(IF(VLOOKUP('Data Entry Form'!$CG25,tblData[],COLUMN(INDIRECT("tblData[[Day 3]]")),0)=0,"",VLOOKUP('Data Entry Form'!$CG25,tblData[],COLUMN(INDIRECT("tblData[[Day 3]]")),0)),"")</f>
        <v/>
      </c>
      <c r="I18" s="267" t="str">
        <f ca="1">IFERROR(IF(VLOOKUP('Data Entry Form'!$CG25,tblData[],COLUMN(INDIRECT("tblData[[Day 4]]")),0)=0,"",VLOOKUP('Data Entry Form'!$CG25,tblData[],COLUMN(INDIRECT("tblData[[Day 4]]")),0)),"")</f>
        <v/>
      </c>
      <c r="J18" s="267" t="str">
        <f ca="1">IFERROR(IF(VLOOKUP('Data Entry Form'!$CG25,tblData[],COLUMN(INDIRECT("tblData[[Day 5]]")),0)=0,"",VLOOKUP('Data Entry Form'!$CG25,tblData[],COLUMN(INDIRECT("tblData[[Day 5]]")),0)),"")</f>
        <v/>
      </c>
      <c r="K18" s="267" t="str">
        <f ca="1">IFERROR(IF(VLOOKUP('Data Entry Form'!$CG25,tblData[],COLUMN(INDIRECT("tblData[[Day 6]]")),0)=0,"",VLOOKUP('Data Entry Form'!$CG25,tblData[],COLUMN(INDIRECT("tblData[[Day 6]]")),0)),"")</f>
        <v/>
      </c>
      <c r="L18" s="267" t="str">
        <f ca="1">IFERROR(IF(VLOOKUP('Data Entry Form'!$CG25,tblData[],COLUMN(INDIRECT("tblData[[Day 7]]")),0)=0,"",VLOOKUP('Data Entry Form'!$CG25,tblData[],COLUMN(INDIRECT("tblData[[Day 7]]")),0)),"")</f>
        <v/>
      </c>
      <c r="M18" s="267" t="str">
        <f ca="1">IFERROR(IF(VLOOKUP('Data Entry Form'!$CG25,tblData[],COLUMN(INDIRECT("tblData[[Day 8]]")),0)=0,"",VLOOKUP('Data Entry Form'!$CG25,tblData[],COLUMN(INDIRECT("tblData[[Day 8]]")),0)),"")</f>
        <v/>
      </c>
      <c r="N18" s="267" t="str">
        <f ca="1">IFERROR(IF(VLOOKUP('Data Entry Form'!$CG25,tblData[],COLUMN(INDIRECT("tblData[[Day 9]]")),0)=0,"",VLOOKUP('Data Entry Form'!$CG25,tblData[],COLUMN(INDIRECT("tblData[[Day 9]]")),0)),"")</f>
        <v/>
      </c>
    </row>
    <row r="19" spans="1:14" s="125" customFormat="1" ht="32.1" customHeight="1">
      <c r="A19" s="261" t="str">
        <f ca="1">IFERROR(VLOOKUP('Data Entry Form'!$CG26,tblData[],COLUMN(INDIRECT("tblData[[No]]")),0),"")</f>
        <v/>
      </c>
      <c r="B19" s="262" t="str">
        <f ca="1">IFERROR(VLOOKUP('Data Entry Form'!$CG26,tblData[],COLUMN(INDIRECT("tblData[[Surname]]")),0),"")</f>
        <v/>
      </c>
      <c r="C19" s="262" t="str">
        <f ca="1">IFERROR(VLOOKUP('Data Entry Form'!$CG26,tblData[],COLUMN(INDIRECT("tblData[[Given Name]]")),0),"")</f>
        <v/>
      </c>
      <c r="D19" s="262" t="str">
        <f ca="1">IFERROR(VLOOKUP('Data Entry Form'!$CG26,tblData[],COLUMN(INDIRECT("tblData[[Position]]")),0),"")</f>
        <v/>
      </c>
      <c r="E19" s="262" t="str">
        <f ca="1">IFERROR(VLOOKUP('Data Entry Form'!$CG26,tblData[],COLUMN(INDIRECT("tblData[[Gender]]")),0),"")</f>
        <v/>
      </c>
      <c r="F19" s="267" t="str">
        <f ca="1">IFERROR(IF(VLOOKUP('Data Entry Form'!$CG26,tblData[],COLUMN(INDIRECT("tblData[[Day 1]]")),0)=0,"",VLOOKUP('Data Entry Form'!$CG26,tblData[],COLUMN(INDIRECT("tblData[[Day 1]]")),0)),"")</f>
        <v/>
      </c>
      <c r="G19" s="267" t="str">
        <f ca="1">IFERROR(IF(VLOOKUP('Data Entry Form'!$CG26,tblData[],COLUMN(INDIRECT("tblData[[Day 2]]")),0)=0,"",VLOOKUP('Data Entry Form'!$CG26,tblData[],COLUMN(INDIRECT("tblData[[Day 2]]")),0)),"")</f>
        <v/>
      </c>
      <c r="H19" s="267" t="str">
        <f ca="1">IFERROR(IF(VLOOKUP('Data Entry Form'!$CG26,tblData[],COLUMN(INDIRECT("tblData[[Day 3]]")),0)=0,"",VLOOKUP('Data Entry Form'!$CG26,tblData[],COLUMN(INDIRECT("tblData[[Day 3]]")),0)),"")</f>
        <v/>
      </c>
      <c r="I19" s="267" t="str">
        <f ca="1">IFERROR(IF(VLOOKUP('Data Entry Form'!$CG26,tblData[],COLUMN(INDIRECT("tblData[[Day 4]]")),0)=0,"",VLOOKUP('Data Entry Form'!$CG26,tblData[],COLUMN(INDIRECT("tblData[[Day 4]]")),0)),"")</f>
        <v/>
      </c>
      <c r="J19" s="267" t="str">
        <f ca="1">IFERROR(IF(VLOOKUP('Data Entry Form'!$CG26,tblData[],COLUMN(INDIRECT("tblData[[Day 5]]")),0)=0,"",VLOOKUP('Data Entry Form'!$CG26,tblData[],COLUMN(INDIRECT("tblData[[Day 5]]")),0)),"")</f>
        <v/>
      </c>
      <c r="K19" s="267" t="str">
        <f ca="1">IFERROR(IF(VLOOKUP('Data Entry Form'!$CG26,tblData[],COLUMN(INDIRECT("tblData[[Day 6]]")),0)=0,"",VLOOKUP('Data Entry Form'!$CG26,tblData[],COLUMN(INDIRECT("tblData[[Day 6]]")),0)),"")</f>
        <v/>
      </c>
      <c r="L19" s="267" t="str">
        <f ca="1">IFERROR(IF(VLOOKUP('Data Entry Form'!$CG26,tblData[],COLUMN(INDIRECT("tblData[[Day 7]]")),0)=0,"",VLOOKUP('Data Entry Form'!$CG26,tblData[],COLUMN(INDIRECT("tblData[[Day 7]]")),0)),"")</f>
        <v/>
      </c>
      <c r="M19" s="267" t="str">
        <f ca="1">IFERROR(IF(VLOOKUP('Data Entry Form'!$CG26,tblData[],COLUMN(INDIRECT("tblData[[Day 8]]")),0)=0,"",VLOOKUP('Data Entry Form'!$CG26,tblData[],COLUMN(INDIRECT("tblData[[Day 8]]")),0)),"")</f>
        <v/>
      </c>
      <c r="N19" s="267" t="str">
        <f ca="1">IFERROR(IF(VLOOKUP('Data Entry Form'!$CG26,tblData[],COLUMN(INDIRECT("tblData[[Day 9]]")),0)=0,"",VLOOKUP('Data Entry Form'!$CG26,tblData[],COLUMN(INDIRECT("tblData[[Day 9]]")),0)),"")</f>
        <v/>
      </c>
    </row>
    <row r="20" spans="1:14" s="125" customFormat="1" ht="32.1" customHeight="1">
      <c r="A20" s="261" t="str">
        <f ca="1">IFERROR(VLOOKUP('Data Entry Form'!$CG27,tblData[],COLUMN(INDIRECT("tblData[[No]]")),0),"")</f>
        <v/>
      </c>
      <c r="B20" s="262" t="str">
        <f ca="1">IFERROR(VLOOKUP('Data Entry Form'!$CG27,tblData[],COLUMN(INDIRECT("tblData[[Surname]]")),0),"")</f>
        <v/>
      </c>
      <c r="C20" s="262" t="str">
        <f ca="1">IFERROR(VLOOKUP('Data Entry Form'!$CG27,tblData[],COLUMN(INDIRECT("tblData[[Given Name]]")),0),"")</f>
        <v/>
      </c>
      <c r="D20" s="262" t="str">
        <f ca="1">IFERROR(VLOOKUP('Data Entry Form'!$CG27,tblData[],COLUMN(INDIRECT("tblData[[Position]]")),0),"")</f>
        <v/>
      </c>
      <c r="E20" s="262" t="str">
        <f ca="1">IFERROR(VLOOKUP('Data Entry Form'!$CG27,tblData[],COLUMN(INDIRECT("tblData[[Gender]]")),0),"")</f>
        <v/>
      </c>
      <c r="F20" s="267" t="str">
        <f ca="1">IFERROR(IF(VLOOKUP('Data Entry Form'!$CG27,tblData[],COLUMN(INDIRECT("tblData[[Day 1]]")),0)=0,"",VLOOKUP('Data Entry Form'!$CG27,tblData[],COLUMN(INDIRECT("tblData[[Day 1]]")),0)),"")</f>
        <v/>
      </c>
      <c r="G20" s="267" t="str">
        <f ca="1">IFERROR(IF(VLOOKUP('Data Entry Form'!$CG27,tblData[],COLUMN(INDIRECT("tblData[[Day 2]]")),0)=0,"",VLOOKUP('Data Entry Form'!$CG27,tblData[],COLUMN(INDIRECT("tblData[[Day 2]]")),0)),"")</f>
        <v/>
      </c>
      <c r="H20" s="267" t="str">
        <f ca="1">IFERROR(IF(VLOOKUP('Data Entry Form'!$CG27,tblData[],COLUMN(INDIRECT("tblData[[Day 3]]")),0)=0,"",VLOOKUP('Data Entry Form'!$CG27,tblData[],COLUMN(INDIRECT("tblData[[Day 3]]")),0)),"")</f>
        <v/>
      </c>
      <c r="I20" s="267" t="str">
        <f ca="1">IFERROR(IF(VLOOKUP('Data Entry Form'!$CG27,tblData[],COLUMN(INDIRECT("tblData[[Day 4]]")),0)=0,"",VLOOKUP('Data Entry Form'!$CG27,tblData[],COLUMN(INDIRECT("tblData[[Day 4]]")),0)),"")</f>
        <v/>
      </c>
      <c r="J20" s="267" t="str">
        <f ca="1">IFERROR(IF(VLOOKUP('Data Entry Form'!$CG27,tblData[],COLUMN(INDIRECT("tblData[[Day 5]]")),0)=0,"",VLOOKUP('Data Entry Form'!$CG27,tblData[],COLUMN(INDIRECT("tblData[[Day 5]]")),0)),"")</f>
        <v/>
      </c>
      <c r="K20" s="267" t="str">
        <f ca="1">IFERROR(IF(VLOOKUP('Data Entry Form'!$CG27,tblData[],COLUMN(INDIRECT("tblData[[Day 6]]")),0)=0,"",VLOOKUP('Data Entry Form'!$CG27,tblData[],COLUMN(INDIRECT("tblData[[Day 6]]")),0)),"")</f>
        <v/>
      </c>
      <c r="L20" s="267" t="str">
        <f ca="1">IFERROR(IF(VLOOKUP('Data Entry Form'!$CG27,tblData[],COLUMN(INDIRECT("tblData[[Day 7]]")),0)=0,"",VLOOKUP('Data Entry Form'!$CG27,tblData[],COLUMN(INDIRECT("tblData[[Day 7]]")),0)),"")</f>
        <v/>
      </c>
      <c r="M20" s="267" t="str">
        <f ca="1">IFERROR(IF(VLOOKUP('Data Entry Form'!$CG27,tblData[],COLUMN(INDIRECT("tblData[[Day 8]]")),0)=0,"",VLOOKUP('Data Entry Form'!$CG27,tblData[],COLUMN(INDIRECT("tblData[[Day 8]]")),0)),"")</f>
        <v/>
      </c>
      <c r="N20" s="267" t="str">
        <f ca="1">IFERROR(IF(VLOOKUP('Data Entry Form'!$CG27,tblData[],COLUMN(INDIRECT("tblData[[Day 9]]")),0)=0,"",VLOOKUP('Data Entry Form'!$CG27,tblData[],COLUMN(INDIRECT("tblData[[Day 9]]")),0)),"")</f>
        <v/>
      </c>
    </row>
    <row r="21" spans="1:14" s="125" customFormat="1" ht="32.1" customHeight="1">
      <c r="A21" s="261" t="str">
        <f ca="1">IFERROR(VLOOKUP('Data Entry Form'!$CG28,tblData[],COLUMN(INDIRECT("tblData[[No]]")),0),"")</f>
        <v/>
      </c>
      <c r="B21" s="262" t="str">
        <f ca="1">IFERROR(VLOOKUP('Data Entry Form'!$CG28,tblData[],COLUMN(INDIRECT("tblData[[Surname]]")),0),"")</f>
        <v/>
      </c>
      <c r="C21" s="262" t="str">
        <f ca="1">IFERROR(VLOOKUP('Data Entry Form'!$CG28,tblData[],COLUMN(INDIRECT("tblData[[Given Name]]")),0),"")</f>
        <v/>
      </c>
      <c r="D21" s="262" t="str">
        <f ca="1">IFERROR(VLOOKUP('Data Entry Form'!$CG28,tblData[],COLUMN(INDIRECT("tblData[[Position]]")),0),"")</f>
        <v/>
      </c>
      <c r="E21" s="262" t="str">
        <f ca="1">IFERROR(VLOOKUP('Data Entry Form'!$CG28,tblData[],COLUMN(INDIRECT("tblData[[Gender]]")),0),"")</f>
        <v/>
      </c>
      <c r="F21" s="267" t="str">
        <f ca="1">IFERROR(IF(VLOOKUP('Data Entry Form'!$CG28,tblData[],COLUMN(INDIRECT("tblData[[Day 1]]")),0)=0,"",VLOOKUP('Data Entry Form'!$CG28,tblData[],COLUMN(INDIRECT("tblData[[Day 1]]")),0)),"")</f>
        <v/>
      </c>
      <c r="G21" s="267" t="str">
        <f ca="1">IFERROR(IF(VLOOKUP('Data Entry Form'!$CG28,tblData[],COLUMN(INDIRECT("tblData[[Day 2]]")),0)=0,"",VLOOKUP('Data Entry Form'!$CG28,tblData[],COLUMN(INDIRECT("tblData[[Day 2]]")),0)),"")</f>
        <v/>
      </c>
      <c r="H21" s="267" t="str">
        <f ca="1">IFERROR(IF(VLOOKUP('Data Entry Form'!$CG28,tblData[],COLUMN(INDIRECT("tblData[[Day 3]]")),0)=0,"",VLOOKUP('Data Entry Form'!$CG28,tblData[],COLUMN(INDIRECT("tblData[[Day 3]]")),0)),"")</f>
        <v/>
      </c>
      <c r="I21" s="267" t="str">
        <f ca="1">IFERROR(IF(VLOOKUP('Data Entry Form'!$CG28,tblData[],COLUMN(INDIRECT("tblData[[Day 4]]")),0)=0,"",VLOOKUP('Data Entry Form'!$CG28,tblData[],COLUMN(INDIRECT("tblData[[Day 4]]")),0)),"")</f>
        <v/>
      </c>
      <c r="J21" s="267" t="str">
        <f ca="1">IFERROR(IF(VLOOKUP('Data Entry Form'!$CG28,tblData[],COLUMN(INDIRECT("tblData[[Day 5]]")),0)=0,"",VLOOKUP('Data Entry Form'!$CG28,tblData[],COLUMN(INDIRECT("tblData[[Day 5]]")),0)),"")</f>
        <v/>
      </c>
      <c r="K21" s="267" t="str">
        <f ca="1">IFERROR(IF(VLOOKUP('Data Entry Form'!$CG28,tblData[],COLUMN(INDIRECT("tblData[[Day 6]]")),0)=0,"",VLOOKUP('Data Entry Form'!$CG28,tblData[],COLUMN(INDIRECT("tblData[[Day 6]]")),0)),"")</f>
        <v/>
      </c>
      <c r="L21" s="267" t="str">
        <f ca="1">IFERROR(IF(VLOOKUP('Data Entry Form'!$CG28,tblData[],COLUMN(INDIRECT("tblData[[Day 7]]")),0)=0,"",VLOOKUP('Data Entry Form'!$CG28,tblData[],COLUMN(INDIRECT("tblData[[Day 7]]")),0)),"")</f>
        <v/>
      </c>
      <c r="M21" s="267" t="str">
        <f ca="1">IFERROR(IF(VLOOKUP('Data Entry Form'!$CG28,tblData[],COLUMN(INDIRECT("tblData[[Day 8]]")),0)=0,"",VLOOKUP('Data Entry Form'!$CG28,tblData[],COLUMN(INDIRECT("tblData[[Day 8]]")),0)),"")</f>
        <v/>
      </c>
      <c r="N21" s="267" t="str">
        <f ca="1">IFERROR(IF(VLOOKUP('Data Entry Form'!$CG28,tblData[],COLUMN(INDIRECT("tblData[[Day 9]]")),0)=0,"",VLOOKUP('Data Entry Form'!$CG28,tblData[],COLUMN(INDIRECT("tblData[[Day 9]]")),0)),"")</f>
        <v/>
      </c>
    </row>
    <row r="22" spans="1:14" s="125" customFormat="1" ht="32.1" customHeight="1">
      <c r="A22" s="261" t="str">
        <f ca="1">IFERROR(VLOOKUP('Data Entry Form'!$CG29,tblData[],COLUMN(INDIRECT("tblData[[No]]")),0),"")</f>
        <v/>
      </c>
      <c r="B22" s="262" t="str">
        <f ca="1">IFERROR(VLOOKUP('Data Entry Form'!$CG29,tblData[],COLUMN(INDIRECT("tblData[[Surname]]")),0),"")</f>
        <v/>
      </c>
      <c r="C22" s="262" t="str">
        <f ca="1">IFERROR(VLOOKUP('Data Entry Form'!$CG29,tblData[],COLUMN(INDIRECT("tblData[[Given Name]]")),0),"")</f>
        <v/>
      </c>
      <c r="D22" s="262" t="str">
        <f ca="1">IFERROR(VLOOKUP('Data Entry Form'!$CG29,tblData[],COLUMN(INDIRECT("tblData[[Position]]")),0),"")</f>
        <v/>
      </c>
      <c r="E22" s="262" t="str">
        <f ca="1">IFERROR(VLOOKUP('Data Entry Form'!$CG29,tblData[],COLUMN(INDIRECT("tblData[[Gender]]")),0),"")</f>
        <v/>
      </c>
      <c r="F22" s="267" t="str">
        <f ca="1">IFERROR(IF(VLOOKUP('Data Entry Form'!$CG29,tblData[],COLUMN(INDIRECT("tblData[[Day 1]]")),0)=0,"",VLOOKUP('Data Entry Form'!$CG29,tblData[],COLUMN(INDIRECT("tblData[[Day 1]]")),0)),"")</f>
        <v/>
      </c>
      <c r="G22" s="267" t="str">
        <f ca="1">IFERROR(IF(VLOOKUP('Data Entry Form'!$CG29,tblData[],COLUMN(INDIRECT("tblData[[Day 2]]")),0)=0,"",VLOOKUP('Data Entry Form'!$CG29,tblData[],COLUMN(INDIRECT("tblData[[Day 2]]")),0)),"")</f>
        <v/>
      </c>
      <c r="H22" s="267" t="str">
        <f ca="1">IFERROR(IF(VLOOKUP('Data Entry Form'!$CG29,tblData[],COLUMN(INDIRECT("tblData[[Day 3]]")),0)=0,"",VLOOKUP('Data Entry Form'!$CG29,tblData[],COLUMN(INDIRECT("tblData[[Day 3]]")),0)),"")</f>
        <v/>
      </c>
      <c r="I22" s="267" t="str">
        <f ca="1">IFERROR(IF(VLOOKUP('Data Entry Form'!$CG29,tblData[],COLUMN(INDIRECT("tblData[[Day 4]]")),0)=0,"",VLOOKUP('Data Entry Form'!$CG29,tblData[],COLUMN(INDIRECT("tblData[[Day 4]]")),0)),"")</f>
        <v/>
      </c>
      <c r="J22" s="267" t="str">
        <f ca="1">IFERROR(IF(VLOOKUP('Data Entry Form'!$CG29,tblData[],COLUMN(INDIRECT("tblData[[Day 5]]")),0)=0,"",VLOOKUP('Data Entry Form'!$CG29,tblData[],COLUMN(INDIRECT("tblData[[Day 5]]")),0)),"")</f>
        <v/>
      </c>
      <c r="K22" s="267" t="str">
        <f ca="1">IFERROR(IF(VLOOKUP('Data Entry Form'!$CG29,tblData[],COLUMN(INDIRECT("tblData[[Day 6]]")),0)=0,"",VLOOKUP('Data Entry Form'!$CG29,tblData[],COLUMN(INDIRECT("tblData[[Day 6]]")),0)),"")</f>
        <v/>
      </c>
      <c r="L22" s="267" t="str">
        <f ca="1">IFERROR(IF(VLOOKUP('Data Entry Form'!$CG29,tblData[],COLUMN(INDIRECT("tblData[[Day 7]]")),0)=0,"",VLOOKUP('Data Entry Form'!$CG29,tblData[],COLUMN(INDIRECT("tblData[[Day 7]]")),0)),"")</f>
        <v/>
      </c>
      <c r="M22" s="267" t="str">
        <f ca="1">IFERROR(IF(VLOOKUP('Data Entry Form'!$CG29,tblData[],COLUMN(INDIRECT("tblData[[Day 8]]")),0)=0,"",VLOOKUP('Data Entry Form'!$CG29,tblData[],COLUMN(INDIRECT("tblData[[Day 8]]")),0)),"")</f>
        <v/>
      </c>
      <c r="N22" s="267" t="str">
        <f ca="1">IFERROR(IF(VLOOKUP('Data Entry Form'!$CG29,tblData[],COLUMN(INDIRECT("tblData[[Day 9]]")),0)=0,"",VLOOKUP('Data Entry Form'!$CG29,tblData[],COLUMN(INDIRECT("tblData[[Day 9]]")),0)),"")</f>
        <v/>
      </c>
    </row>
    <row r="23" spans="1:14" s="125" customFormat="1" ht="32.1" customHeight="1">
      <c r="A23" s="261" t="str">
        <f ca="1">IFERROR(VLOOKUP('Data Entry Form'!$CG30,tblData[],COLUMN(INDIRECT("tblData[[No]]")),0),"")</f>
        <v/>
      </c>
      <c r="B23" s="262" t="str">
        <f ca="1">IFERROR(VLOOKUP('Data Entry Form'!$CG30,tblData[],COLUMN(INDIRECT("tblData[[Surname]]")),0),"")</f>
        <v/>
      </c>
      <c r="C23" s="262" t="str">
        <f ca="1">IFERROR(VLOOKUP('Data Entry Form'!$CG30,tblData[],COLUMN(INDIRECT("tblData[[Given Name]]")),0),"")</f>
        <v/>
      </c>
      <c r="D23" s="262" t="str">
        <f ca="1">IFERROR(VLOOKUP('Data Entry Form'!$CG30,tblData[],COLUMN(INDIRECT("tblData[[Position]]")),0),"")</f>
        <v/>
      </c>
      <c r="E23" s="262" t="str">
        <f ca="1">IFERROR(VLOOKUP('Data Entry Form'!$CG30,tblData[],COLUMN(INDIRECT("tblData[[Gender]]")),0),"")</f>
        <v/>
      </c>
      <c r="F23" s="267" t="str">
        <f ca="1">IFERROR(IF(VLOOKUP('Data Entry Form'!$CG30,tblData[],COLUMN(INDIRECT("tblData[[Day 1]]")),0)=0,"",VLOOKUP('Data Entry Form'!$CG30,tblData[],COLUMN(INDIRECT("tblData[[Day 1]]")),0)),"")</f>
        <v/>
      </c>
      <c r="G23" s="267" t="str">
        <f ca="1">IFERROR(IF(VLOOKUP('Data Entry Form'!$CG30,tblData[],COLUMN(INDIRECT("tblData[[Day 2]]")),0)=0,"",VLOOKUP('Data Entry Form'!$CG30,tblData[],COLUMN(INDIRECT("tblData[[Day 2]]")),0)),"")</f>
        <v/>
      </c>
      <c r="H23" s="267" t="str">
        <f ca="1">IFERROR(IF(VLOOKUP('Data Entry Form'!$CG30,tblData[],COLUMN(INDIRECT("tblData[[Day 3]]")),0)=0,"",VLOOKUP('Data Entry Form'!$CG30,tblData[],COLUMN(INDIRECT("tblData[[Day 3]]")),0)),"")</f>
        <v/>
      </c>
      <c r="I23" s="267" t="str">
        <f ca="1">IFERROR(IF(VLOOKUP('Data Entry Form'!$CG30,tblData[],COLUMN(INDIRECT("tblData[[Day 4]]")),0)=0,"",VLOOKUP('Data Entry Form'!$CG30,tblData[],COLUMN(INDIRECT("tblData[[Day 4]]")),0)),"")</f>
        <v/>
      </c>
      <c r="J23" s="267" t="str">
        <f ca="1">IFERROR(IF(VLOOKUP('Data Entry Form'!$CG30,tblData[],COLUMN(INDIRECT("tblData[[Day 5]]")),0)=0,"",VLOOKUP('Data Entry Form'!$CG30,tblData[],COLUMN(INDIRECT("tblData[[Day 5]]")),0)),"")</f>
        <v/>
      </c>
      <c r="K23" s="267" t="str">
        <f ca="1">IFERROR(IF(VLOOKUP('Data Entry Form'!$CG30,tblData[],COLUMN(INDIRECT("tblData[[Day 6]]")),0)=0,"",VLOOKUP('Data Entry Form'!$CG30,tblData[],COLUMN(INDIRECT("tblData[[Day 6]]")),0)),"")</f>
        <v/>
      </c>
      <c r="L23" s="267" t="str">
        <f ca="1">IFERROR(IF(VLOOKUP('Data Entry Form'!$CG30,tblData[],COLUMN(INDIRECT("tblData[[Day 7]]")),0)=0,"",VLOOKUP('Data Entry Form'!$CG30,tblData[],COLUMN(INDIRECT("tblData[[Day 7]]")),0)),"")</f>
        <v/>
      </c>
      <c r="M23" s="267" t="str">
        <f ca="1">IFERROR(IF(VLOOKUP('Data Entry Form'!$CG30,tblData[],COLUMN(INDIRECT("tblData[[Day 8]]")),0)=0,"",VLOOKUP('Data Entry Form'!$CG30,tblData[],COLUMN(INDIRECT("tblData[[Day 8]]")),0)),"")</f>
        <v/>
      </c>
      <c r="N23" s="267" t="str">
        <f ca="1">IFERROR(IF(VLOOKUP('Data Entry Form'!$CG30,tblData[],COLUMN(INDIRECT("tblData[[Day 9]]")),0)=0,"",VLOOKUP('Data Entry Form'!$CG30,tblData[],COLUMN(INDIRECT("tblData[[Day 9]]")),0)),"")</f>
        <v/>
      </c>
    </row>
    <row r="24" spans="1:14" s="125" customFormat="1" ht="32.1" customHeight="1">
      <c r="A24" s="261" t="str">
        <f ca="1">IFERROR(VLOOKUP('Data Entry Form'!$CG31,tblData[],COLUMN(INDIRECT("tblData[[No]]")),0),"")</f>
        <v/>
      </c>
      <c r="B24" s="262" t="str">
        <f ca="1">IFERROR(VLOOKUP('Data Entry Form'!$CG31,tblData[],COLUMN(INDIRECT("tblData[[Surname]]")),0),"")</f>
        <v/>
      </c>
      <c r="C24" s="262" t="str">
        <f ca="1">IFERROR(VLOOKUP('Data Entry Form'!$CG31,tblData[],COLUMN(INDIRECT("tblData[[Given Name]]")),0),"")</f>
        <v/>
      </c>
      <c r="D24" s="262" t="str">
        <f ca="1">IFERROR(VLOOKUP('Data Entry Form'!$CG31,tblData[],COLUMN(INDIRECT("tblData[[Position]]")),0),"")</f>
        <v/>
      </c>
      <c r="E24" s="262" t="str">
        <f ca="1">IFERROR(VLOOKUP('Data Entry Form'!$CG31,tblData[],COLUMN(INDIRECT("tblData[[Gender]]")),0),"")</f>
        <v/>
      </c>
      <c r="F24" s="267" t="str">
        <f ca="1">IFERROR(IF(VLOOKUP('Data Entry Form'!$CG31,tblData[],COLUMN(INDIRECT("tblData[[Day 1]]")),0)=0,"",VLOOKUP('Data Entry Form'!$CG31,tblData[],COLUMN(INDIRECT("tblData[[Day 1]]")),0)),"")</f>
        <v/>
      </c>
      <c r="G24" s="267" t="str">
        <f ca="1">IFERROR(IF(VLOOKUP('Data Entry Form'!$CG31,tblData[],COLUMN(INDIRECT("tblData[[Day 2]]")),0)=0,"",VLOOKUP('Data Entry Form'!$CG31,tblData[],COLUMN(INDIRECT("tblData[[Day 2]]")),0)),"")</f>
        <v/>
      </c>
      <c r="H24" s="267" t="str">
        <f ca="1">IFERROR(IF(VLOOKUP('Data Entry Form'!$CG31,tblData[],COLUMN(INDIRECT("tblData[[Day 3]]")),0)=0,"",VLOOKUP('Data Entry Form'!$CG31,tblData[],COLUMN(INDIRECT("tblData[[Day 3]]")),0)),"")</f>
        <v/>
      </c>
      <c r="I24" s="267" t="str">
        <f ca="1">IFERROR(IF(VLOOKUP('Data Entry Form'!$CG31,tblData[],COLUMN(INDIRECT("tblData[[Day 4]]")),0)=0,"",VLOOKUP('Data Entry Form'!$CG31,tblData[],COLUMN(INDIRECT("tblData[[Day 4]]")),0)),"")</f>
        <v/>
      </c>
      <c r="J24" s="267" t="str">
        <f ca="1">IFERROR(IF(VLOOKUP('Data Entry Form'!$CG31,tblData[],COLUMN(INDIRECT("tblData[[Day 5]]")),0)=0,"",VLOOKUP('Data Entry Form'!$CG31,tblData[],COLUMN(INDIRECT("tblData[[Day 5]]")),0)),"")</f>
        <v/>
      </c>
      <c r="K24" s="267" t="str">
        <f ca="1">IFERROR(IF(VLOOKUP('Data Entry Form'!$CG31,tblData[],COLUMN(INDIRECT("tblData[[Day 6]]")),0)=0,"",VLOOKUP('Data Entry Form'!$CG31,tblData[],COLUMN(INDIRECT("tblData[[Day 6]]")),0)),"")</f>
        <v/>
      </c>
      <c r="L24" s="267" t="str">
        <f ca="1">IFERROR(IF(VLOOKUP('Data Entry Form'!$CG31,tblData[],COLUMN(INDIRECT("tblData[[Day 7]]")),0)=0,"",VLOOKUP('Data Entry Form'!$CG31,tblData[],COLUMN(INDIRECT("tblData[[Day 7]]")),0)),"")</f>
        <v/>
      </c>
      <c r="M24" s="267" t="str">
        <f ca="1">IFERROR(IF(VLOOKUP('Data Entry Form'!$CG31,tblData[],COLUMN(INDIRECT("tblData[[Day 8]]")),0)=0,"",VLOOKUP('Data Entry Form'!$CG31,tblData[],COLUMN(INDIRECT("tblData[[Day 8]]")),0)),"")</f>
        <v/>
      </c>
      <c r="N24" s="267" t="str">
        <f ca="1">IFERROR(IF(VLOOKUP('Data Entry Form'!$CG31,tblData[],COLUMN(INDIRECT("tblData[[Day 9]]")),0)=0,"",VLOOKUP('Data Entry Form'!$CG31,tblData[],COLUMN(INDIRECT("tblData[[Day 9]]")),0)),"")</f>
        <v/>
      </c>
    </row>
    <row r="25" spans="1:14" s="125" customFormat="1" ht="32.1" customHeight="1">
      <c r="A25" s="261" t="str">
        <f ca="1">IFERROR(VLOOKUP('Data Entry Form'!$CG32,tblData[],COLUMN(INDIRECT("tblData[[No]]")),0),"")</f>
        <v/>
      </c>
      <c r="B25" s="262" t="str">
        <f ca="1">IFERROR(VLOOKUP('Data Entry Form'!$CG32,tblData[],COLUMN(INDIRECT("tblData[[Surname]]")),0),"")</f>
        <v/>
      </c>
      <c r="C25" s="262" t="str">
        <f ca="1">IFERROR(VLOOKUP('Data Entry Form'!$CG32,tblData[],COLUMN(INDIRECT("tblData[[Given Name]]")),0),"")</f>
        <v/>
      </c>
      <c r="D25" s="262" t="str">
        <f ca="1">IFERROR(VLOOKUP('Data Entry Form'!$CG32,tblData[],COLUMN(INDIRECT("tblData[[Position]]")),0),"")</f>
        <v/>
      </c>
      <c r="E25" s="262" t="str">
        <f ca="1">IFERROR(VLOOKUP('Data Entry Form'!$CG32,tblData[],COLUMN(INDIRECT("tblData[[Gender]]")),0),"")</f>
        <v/>
      </c>
      <c r="F25" s="267" t="str">
        <f ca="1">IFERROR(IF(VLOOKUP('Data Entry Form'!$CG32,tblData[],COLUMN(INDIRECT("tblData[[Day 1]]")),0)=0,"",VLOOKUP('Data Entry Form'!$CG32,tblData[],COLUMN(INDIRECT("tblData[[Day 1]]")),0)),"")</f>
        <v/>
      </c>
      <c r="G25" s="267" t="str">
        <f ca="1">IFERROR(IF(VLOOKUP('Data Entry Form'!$CG32,tblData[],COLUMN(INDIRECT("tblData[[Day 2]]")),0)=0,"",VLOOKUP('Data Entry Form'!$CG32,tblData[],COLUMN(INDIRECT("tblData[[Day 2]]")),0)),"")</f>
        <v/>
      </c>
      <c r="H25" s="267" t="str">
        <f ca="1">IFERROR(IF(VLOOKUP('Data Entry Form'!$CG32,tblData[],COLUMN(INDIRECT("tblData[[Day 3]]")),0)=0,"",VLOOKUP('Data Entry Form'!$CG32,tblData[],COLUMN(INDIRECT("tblData[[Day 3]]")),0)),"")</f>
        <v/>
      </c>
      <c r="I25" s="267" t="str">
        <f ca="1">IFERROR(IF(VLOOKUP('Data Entry Form'!$CG32,tblData[],COLUMN(INDIRECT("tblData[[Day 4]]")),0)=0,"",VLOOKUP('Data Entry Form'!$CG32,tblData[],COLUMN(INDIRECT("tblData[[Day 4]]")),0)),"")</f>
        <v/>
      </c>
      <c r="J25" s="267" t="str">
        <f ca="1">IFERROR(IF(VLOOKUP('Data Entry Form'!$CG32,tblData[],COLUMN(INDIRECT("tblData[[Day 5]]")),0)=0,"",VLOOKUP('Data Entry Form'!$CG32,tblData[],COLUMN(INDIRECT("tblData[[Day 5]]")),0)),"")</f>
        <v/>
      </c>
      <c r="K25" s="267" t="str">
        <f ca="1">IFERROR(IF(VLOOKUP('Data Entry Form'!$CG32,tblData[],COLUMN(INDIRECT("tblData[[Day 6]]")),0)=0,"",VLOOKUP('Data Entry Form'!$CG32,tblData[],COLUMN(INDIRECT("tblData[[Day 6]]")),0)),"")</f>
        <v/>
      </c>
      <c r="L25" s="267" t="str">
        <f ca="1">IFERROR(IF(VLOOKUP('Data Entry Form'!$CG32,tblData[],COLUMN(INDIRECT("tblData[[Day 7]]")),0)=0,"",VLOOKUP('Data Entry Form'!$CG32,tblData[],COLUMN(INDIRECT("tblData[[Day 7]]")),0)),"")</f>
        <v/>
      </c>
      <c r="M25" s="267" t="str">
        <f ca="1">IFERROR(IF(VLOOKUP('Data Entry Form'!$CG32,tblData[],COLUMN(INDIRECT("tblData[[Day 8]]")),0)=0,"",VLOOKUP('Data Entry Form'!$CG32,tblData[],COLUMN(INDIRECT("tblData[[Day 8]]")),0)),"")</f>
        <v/>
      </c>
      <c r="N25" s="267" t="str">
        <f ca="1">IFERROR(IF(VLOOKUP('Data Entry Form'!$CG32,tblData[],COLUMN(INDIRECT("tblData[[Day 9]]")),0)=0,"",VLOOKUP('Data Entry Form'!$CG32,tblData[],COLUMN(INDIRECT("tblData[[Day 9]]")),0)),"")</f>
        <v/>
      </c>
    </row>
    <row r="26" spans="1:14" s="125" customFormat="1" ht="32.1" customHeight="1">
      <c r="A26" s="261" t="str">
        <f ca="1">IFERROR(VLOOKUP('Data Entry Form'!$CG33,tblData[],COLUMN(INDIRECT("tblData[[No]]")),0),"")</f>
        <v/>
      </c>
      <c r="B26" s="262" t="str">
        <f ca="1">IFERROR(VLOOKUP('Data Entry Form'!$CG33,tblData[],COLUMN(INDIRECT("tblData[[Surname]]")),0),"")</f>
        <v/>
      </c>
      <c r="C26" s="262" t="str">
        <f ca="1">IFERROR(VLOOKUP('Data Entry Form'!$CG33,tblData[],COLUMN(INDIRECT("tblData[[Given Name]]")),0),"")</f>
        <v/>
      </c>
      <c r="D26" s="262" t="str">
        <f ca="1">IFERROR(VLOOKUP('Data Entry Form'!$CG33,tblData[],COLUMN(INDIRECT("tblData[[Position]]")),0),"")</f>
        <v/>
      </c>
      <c r="E26" s="262" t="str">
        <f ca="1">IFERROR(VLOOKUP('Data Entry Form'!$CG33,tblData[],COLUMN(INDIRECT("tblData[[Gender]]")),0),"")</f>
        <v/>
      </c>
      <c r="F26" s="267" t="str">
        <f ca="1">IFERROR(IF(VLOOKUP('Data Entry Form'!$CG33,tblData[],COLUMN(INDIRECT("tblData[[Day 1]]")),0)=0,"",VLOOKUP('Data Entry Form'!$CG33,tblData[],COLUMN(INDIRECT("tblData[[Day 1]]")),0)),"")</f>
        <v/>
      </c>
      <c r="G26" s="267" t="str">
        <f ca="1">IFERROR(IF(VLOOKUP('Data Entry Form'!$CG33,tblData[],COLUMN(INDIRECT("tblData[[Day 2]]")),0)=0,"",VLOOKUP('Data Entry Form'!$CG33,tblData[],COLUMN(INDIRECT("tblData[[Day 2]]")),0)),"")</f>
        <v/>
      </c>
      <c r="H26" s="267" t="str">
        <f ca="1">IFERROR(IF(VLOOKUP('Data Entry Form'!$CG33,tblData[],COLUMN(INDIRECT("tblData[[Day 3]]")),0)=0,"",VLOOKUP('Data Entry Form'!$CG33,tblData[],COLUMN(INDIRECT("tblData[[Day 3]]")),0)),"")</f>
        <v/>
      </c>
      <c r="I26" s="267" t="str">
        <f ca="1">IFERROR(IF(VLOOKUP('Data Entry Form'!$CG33,tblData[],COLUMN(INDIRECT("tblData[[Day 4]]")),0)=0,"",VLOOKUP('Data Entry Form'!$CG33,tblData[],COLUMN(INDIRECT("tblData[[Day 4]]")),0)),"")</f>
        <v/>
      </c>
      <c r="J26" s="267" t="str">
        <f ca="1">IFERROR(IF(VLOOKUP('Data Entry Form'!$CG33,tblData[],COLUMN(INDIRECT("tblData[[Day 5]]")),0)=0,"",VLOOKUP('Data Entry Form'!$CG33,tblData[],COLUMN(INDIRECT("tblData[[Day 5]]")),0)),"")</f>
        <v/>
      </c>
      <c r="K26" s="267" t="str">
        <f ca="1">IFERROR(IF(VLOOKUP('Data Entry Form'!$CG33,tblData[],COLUMN(INDIRECT("tblData[[Day 6]]")),0)=0,"",VLOOKUP('Data Entry Form'!$CG33,tblData[],COLUMN(INDIRECT("tblData[[Day 6]]")),0)),"")</f>
        <v/>
      </c>
      <c r="L26" s="267" t="str">
        <f ca="1">IFERROR(IF(VLOOKUP('Data Entry Form'!$CG33,tblData[],COLUMN(INDIRECT("tblData[[Day 7]]")),0)=0,"",VLOOKUP('Data Entry Form'!$CG33,tblData[],COLUMN(INDIRECT("tblData[[Day 7]]")),0)),"")</f>
        <v/>
      </c>
      <c r="M26" s="267" t="str">
        <f ca="1">IFERROR(IF(VLOOKUP('Data Entry Form'!$CG33,tblData[],COLUMN(INDIRECT("tblData[[Day 8]]")),0)=0,"",VLOOKUP('Data Entry Form'!$CG33,tblData[],COLUMN(INDIRECT("tblData[[Day 8]]")),0)),"")</f>
        <v/>
      </c>
      <c r="N26" s="267" t="str">
        <f ca="1">IFERROR(IF(VLOOKUP('Data Entry Form'!$CG33,tblData[],COLUMN(INDIRECT("tblData[[Day 9]]")),0)=0,"",VLOOKUP('Data Entry Form'!$CG33,tblData[],COLUMN(INDIRECT("tblData[[Day 9]]")),0)),"")</f>
        <v/>
      </c>
    </row>
    <row r="27" spans="1:14" s="125" customFormat="1" ht="32.1" customHeight="1">
      <c r="A27" s="261" t="str">
        <f ca="1">IFERROR(VLOOKUP('Data Entry Form'!$CG34,tblData[],COLUMN(INDIRECT("tblData[[No]]")),0),"")</f>
        <v/>
      </c>
      <c r="B27" s="262" t="str">
        <f ca="1">IFERROR(VLOOKUP('Data Entry Form'!$CG34,tblData[],COLUMN(INDIRECT("tblData[[Surname]]")),0),"")</f>
        <v/>
      </c>
      <c r="C27" s="262" t="str">
        <f ca="1">IFERROR(VLOOKUP('Data Entry Form'!$CG34,tblData[],COLUMN(INDIRECT("tblData[[Given Name]]")),0),"")</f>
        <v/>
      </c>
      <c r="D27" s="262" t="str">
        <f ca="1">IFERROR(VLOOKUP('Data Entry Form'!$CG34,tblData[],COLUMN(INDIRECT("tblData[[Position]]")),0),"")</f>
        <v/>
      </c>
      <c r="E27" s="262" t="str">
        <f ca="1">IFERROR(VLOOKUP('Data Entry Form'!$CG34,tblData[],COLUMN(INDIRECT("tblData[[Gender]]")),0),"")</f>
        <v/>
      </c>
      <c r="F27" s="267" t="str">
        <f ca="1">IFERROR(IF(VLOOKUP('Data Entry Form'!$CG34,tblData[],COLUMN(INDIRECT("tblData[[Day 1]]")),0)=0,"",VLOOKUP('Data Entry Form'!$CG34,tblData[],COLUMN(INDIRECT("tblData[[Day 1]]")),0)),"")</f>
        <v/>
      </c>
      <c r="G27" s="267" t="str">
        <f ca="1">IFERROR(IF(VLOOKUP('Data Entry Form'!$CG34,tblData[],COLUMN(INDIRECT("tblData[[Day 2]]")),0)=0,"",VLOOKUP('Data Entry Form'!$CG34,tblData[],COLUMN(INDIRECT("tblData[[Day 2]]")),0)),"")</f>
        <v/>
      </c>
      <c r="H27" s="267" t="str">
        <f ca="1">IFERROR(IF(VLOOKUP('Data Entry Form'!$CG34,tblData[],COLUMN(INDIRECT("tblData[[Day 3]]")),0)=0,"",VLOOKUP('Data Entry Form'!$CG34,tblData[],COLUMN(INDIRECT("tblData[[Day 3]]")),0)),"")</f>
        <v/>
      </c>
      <c r="I27" s="267" t="str">
        <f ca="1">IFERROR(IF(VLOOKUP('Data Entry Form'!$CG34,tblData[],COLUMN(INDIRECT("tblData[[Day 4]]")),0)=0,"",VLOOKUP('Data Entry Form'!$CG34,tblData[],COLUMN(INDIRECT("tblData[[Day 4]]")),0)),"")</f>
        <v/>
      </c>
      <c r="J27" s="267" t="str">
        <f ca="1">IFERROR(IF(VLOOKUP('Data Entry Form'!$CG34,tblData[],COLUMN(INDIRECT("tblData[[Day 5]]")),0)=0,"",VLOOKUP('Data Entry Form'!$CG34,tblData[],COLUMN(INDIRECT("tblData[[Day 5]]")),0)),"")</f>
        <v/>
      </c>
      <c r="K27" s="267" t="str">
        <f ca="1">IFERROR(IF(VLOOKUP('Data Entry Form'!$CG34,tblData[],COLUMN(INDIRECT("tblData[[Day 6]]")),0)=0,"",VLOOKUP('Data Entry Form'!$CG34,tblData[],COLUMN(INDIRECT("tblData[[Day 6]]")),0)),"")</f>
        <v/>
      </c>
      <c r="L27" s="267" t="str">
        <f ca="1">IFERROR(IF(VLOOKUP('Data Entry Form'!$CG34,tblData[],COLUMN(INDIRECT("tblData[[Day 7]]")),0)=0,"",VLOOKUP('Data Entry Form'!$CG34,tblData[],COLUMN(INDIRECT("tblData[[Day 7]]")),0)),"")</f>
        <v/>
      </c>
      <c r="M27" s="267" t="str">
        <f ca="1">IFERROR(IF(VLOOKUP('Data Entry Form'!$CG34,tblData[],COLUMN(INDIRECT("tblData[[Day 8]]")),0)=0,"",VLOOKUP('Data Entry Form'!$CG34,tblData[],COLUMN(INDIRECT("tblData[[Day 8]]")),0)),"")</f>
        <v/>
      </c>
      <c r="N27" s="267" t="str">
        <f ca="1">IFERROR(IF(VLOOKUP('Data Entry Form'!$CG34,tblData[],COLUMN(INDIRECT("tblData[[Day 9]]")),0)=0,"",VLOOKUP('Data Entry Form'!$CG34,tblData[],COLUMN(INDIRECT("tblData[[Day 9]]")),0)),"")</f>
        <v/>
      </c>
    </row>
    <row r="28" spans="1:14" s="125" customFormat="1" ht="32.1" customHeight="1">
      <c r="A28" s="261" t="str">
        <f ca="1">IFERROR(VLOOKUP('Data Entry Form'!$CG35,tblData[],COLUMN(INDIRECT("tblData[[No]]")),0),"")</f>
        <v/>
      </c>
      <c r="B28" s="262" t="str">
        <f ca="1">IFERROR(VLOOKUP('Data Entry Form'!$CG35,tblData[],COLUMN(INDIRECT("tblData[[Surname]]")),0),"")</f>
        <v/>
      </c>
      <c r="C28" s="262" t="str">
        <f ca="1">IFERROR(VLOOKUP('Data Entry Form'!$CG35,tblData[],COLUMN(INDIRECT("tblData[[Given Name]]")),0),"")</f>
        <v/>
      </c>
      <c r="D28" s="262" t="str">
        <f ca="1">IFERROR(VLOOKUP('Data Entry Form'!$CG35,tblData[],COLUMN(INDIRECT("tblData[[Position]]")),0),"")</f>
        <v/>
      </c>
      <c r="E28" s="262" t="str">
        <f ca="1">IFERROR(VLOOKUP('Data Entry Form'!$CG35,tblData[],COLUMN(INDIRECT("tblData[[Gender]]")),0),"")</f>
        <v/>
      </c>
      <c r="F28" s="267" t="str">
        <f ca="1">IFERROR(IF(VLOOKUP('Data Entry Form'!$CG35,tblData[],COLUMN(INDIRECT("tblData[[Day 1]]")),0)=0,"",VLOOKUP('Data Entry Form'!$CG35,tblData[],COLUMN(INDIRECT("tblData[[Day 1]]")),0)),"")</f>
        <v/>
      </c>
      <c r="G28" s="267" t="str">
        <f ca="1">IFERROR(IF(VLOOKUP('Data Entry Form'!$CG35,tblData[],COLUMN(INDIRECT("tblData[[Day 2]]")),0)=0,"",VLOOKUP('Data Entry Form'!$CG35,tblData[],COLUMN(INDIRECT("tblData[[Day 2]]")),0)),"")</f>
        <v/>
      </c>
      <c r="H28" s="267" t="str">
        <f ca="1">IFERROR(IF(VLOOKUP('Data Entry Form'!$CG35,tblData[],COLUMN(INDIRECT("tblData[[Day 3]]")),0)=0,"",VLOOKUP('Data Entry Form'!$CG35,tblData[],COLUMN(INDIRECT("tblData[[Day 3]]")),0)),"")</f>
        <v/>
      </c>
      <c r="I28" s="267" t="str">
        <f ca="1">IFERROR(IF(VLOOKUP('Data Entry Form'!$CG35,tblData[],COLUMN(INDIRECT("tblData[[Day 4]]")),0)=0,"",VLOOKUP('Data Entry Form'!$CG35,tblData[],COLUMN(INDIRECT("tblData[[Day 4]]")),0)),"")</f>
        <v/>
      </c>
      <c r="J28" s="267" t="str">
        <f ca="1">IFERROR(IF(VLOOKUP('Data Entry Form'!$CG35,tblData[],COLUMN(INDIRECT("tblData[[Day 5]]")),0)=0,"",VLOOKUP('Data Entry Form'!$CG35,tblData[],COLUMN(INDIRECT("tblData[[Day 5]]")),0)),"")</f>
        <v/>
      </c>
      <c r="K28" s="267" t="str">
        <f ca="1">IFERROR(IF(VLOOKUP('Data Entry Form'!$CG35,tblData[],COLUMN(INDIRECT("tblData[[Day 6]]")),0)=0,"",VLOOKUP('Data Entry Form'!$CG35,tblData[],COLUMN(INDIRECT("tblData[[Day 6]]")),0)),"")</f>
        <v/>
      </c>
      <c r="L28" s="267" t="str">
        <f ca="1">IFERROR(IF(VLOOKUP('Data Entry Form'!$CG35,tblData[],COLUMN(INDIRECT("tblData[[Day 7]]")),0)=0,"",VLOOKUP('Data Entry Form'!$CG35,tblData[],COLUMN(INDIRECT("tblData[[Day 7]]")),0)),"")</f>
        <v/>
      </c>
      <c r="M28" s="267" t="str">
        <f ca="1">IFERROR(IF(VLOOKUP('Data Entry Form'!$CG35,tblData[],COLUMN(INDIRECT("tblData[[Day 8]]")),0)=0,"",VLOOKUP('Data Entry Form'!$CG35,tblData[],COLUMN(INDIRECT("tblData[[Day 8]]")),0)),"")</f>
        <v/>
      </c>
      <c r="N28" s="267" t="str">
        <f ca="1">IFERROR(IF(VLOOKUP('Data Entry Form'!$CG35,tblData[],COLUMN(INDIRECT("tblData[[Day 9]]")),0)=0,"",VLOOKUP('Data Entry Form'!$CG35,tblData[],COLUMN(INDIRECT("tblData[[Day 9]]")),0)),"")</f>
        <v/>
      </c>
    </row>
    <row r="29" spans="1:14" s="125" customFormat="1" ht="32.1" customHeight="1">
      <c r="A29" s="261" t="str">
        <f ca="1">IFERROR(VLOOKUP('Data Entry Form'!$CG36,tblData[],COLUMN(INDIRECT("tblData[[No]]")),0),"")</f>
        <v/>
      </c>
      <c r="B29" s="262" t="str">
        <f ca="1">IFERROR(VLOOKUP('Data Entry Form'!$CG36,tblData[],COLUMN(INDIRECT("tblData[[Surname]]")),0),"")</f>
        <v/>
      </c>
      <c r="C29" s="262" t="str">
        <f ca="1">IFERROR(VLOOKUP('Data Entry Form'!$CG36,tblData[],COLUMN(INDIRECT("tblData[[Given Name]]")),0),"")</f>
        <v/>
      </c>
      <c r="D29" s="262" t="str">
        <f ca="1">IFERROR(VLOOKUP('Data Entry Form'!$CG36,tblData[],COLUMN(INDIRECT("tblData[[Position]]")),0),"")</f>
        <v/>
      </c>
      <c r="E29" s="262" t="str">
        <f ca="1">IFERROR(VLOOKUP('Data Entry Form'!$CG36,tblData[],COLUMN(INDIRECT("tblData[[Gender]]")),0),"")</f>
        <v/>
      </c>
      <c r="F29" s="267" t="str">
        <f ca="1">IFERROR(IF(VLOOKUP('Data Entry Form'!$CG36,tblData[],COLUMN(INDIRECT("tblData[[Day 1]]")),0)=0,"",VLOOKUP('Data Entry Form'!$CG36,tblData[],COLUMN(INDIRECT("tblData[[Day 1]]")),0)),"")</f>
        <v/>
      </c>
      <c r="G29" s="267" t="str">
        <f ca="1">IFERROR(IF(VLOOKUP('Data Entry Form'!$CG36,tblData[],COLUMN(INDIRECT("tblData[[Day 2]]")),0)=0,"",VLOOKUP('Data Entry Form'!$CG36,tblData[],COLUMN(INDIRECT("tblData[[Day 2]]")),0)),"")</f>
        <v/>
      </c>
      <c r="H29" s="267" t="str">
        <f ca="1">IFERROR(IF(VLOOKUP('Data Entry Form'!$CG36,tblData[],COLUMN(INDIRECT("tblData[[Day 3]]")),0)=0,"",VLOOKUP('Data Entry Form'!$CG36,tblData[],COLUMN(INDIRECT("tblData[[Day 3]]")),0)),"")</f>
        <v/>
      </c>
      <c r="I29" s="267" t="str">
        <f ca="1">IFERROR(IF(VLOOKUP('Data Entry Form'!$CG36,tblData[],COLUMN(INDIRECT("tblData[[Day 4]]")),0)=0,"",VLOOKUP('Data Entry Form'!$CG36,tblData[],COLUMN(INDIRECT("tblData[[Day 4]]")),0)),"")</f>
        <v/>
      </c>
      <c r="J29" s="267" t="str">
        <f ca="1">IFERROR(IF(VLOOKUP('Data Entry Form'!$CG36,tblData[],COLUMN(INDIRECT("tblData[[Day 5]]")),0)=0,"",VLOOKUP('Data Entry Form'!$CG36,tblData[],COLUMN(INDIRECT("tblData[[Day 5]]")),0)),"")</f>
        <v/>
      </c>
      <c r="K29" s="267" t="str">
        <f ca="1">IFERROR(IF(VLOOKUP('Data Entry Form'!$CG36,tblData[],COLUMN(INDIRECT("tblData[[Day 6]]")),0)=0,"",VLOOKUP('Data Entry Form'!$CG36,tblData[],COLUMN(INDIRECT("tblData[[Day 6]]")),0)),"")</f>
        <v/>
      </c>
      <c r="L29" s="267" t="str">
        <f ca="1">IFERROR(IF(VLOOKUP('Data Entry Form'!$CG36,tblData[],COLUMN(INDIRECT("tblData[[Day 7]]")),0)=0,"",VLOOKUP('Data Entry Form'!$CG36,tblData[],COLUMN(INDIRECT("tblData[[Day 7]]")),0)),"")</f>
        <v/>
      </c>
      <c r="M29" s="267" t="str">
        <f ca="1">IFERROR(IF(VLOOKUP('Data Entry Form'!$CG36,tblData[],COLUMN(INDIRECT("tblData[[Day 8]]")),0)=0,"",VLOOKUP('Data Entry Form'!$CG36,tblData[],COLUMN(INDIRECT("tblData[[Day 8]]")),0)),"")</f>
        <v/>
      </c>
      <c r="N29" s="267" t="str">
        <f ca="1">IFERROR(IF(VLOOKUP('Data Entry Form'!$CG36,tblData[],COLUMN(INDIRECT("tblData[[Day 9]]")),0)=0,"",VLOOKUP('Data Entry Form'!$CG36,tblData[],COLUMN(INDIRECT("tblData[[Day 9]]")),0)),"")</f>
        <v/>
      </c>
    </row>
    <row r="30" spans="1:14" s="125" customFormat="1" ht="32.1" customHeight="1">
      <c r="A30" s="261" t="str">
        <f ca="1">IFERROR(VLOOKUP('Data Entry Form'!$CG37,tblData[],COLUMN(INDIRECT("tblData[[No]]")),0),"")</f>
        <v/>
      </c>
      <c r="B30" s="262" t="str">
        <f ca="1">IFERROR(VLOOKUP('Data Entry Form'!$CG37,tblData[],COLUMN(INDIRECT("tblData[[Surname]]")),0),"")</f>
        <v/>
      </c>
      <c r="C30" s="262" t="str">
        <f ca="1">IFERROR(VLOOKUP('Data Entry Form'!$CG37,tblData[],COLUMN(INDIRECT("tblData[[Given Name]]")),0),"")</f>
        <v/>
      </c>
      <c r="D30" s="262" t="str">
        <f ca="1">IFERROR(VLOOKUP('Data Entry Form'!$CG37,tblData[],COLUMN(INDIRECT("tblData[[Position]]")),0),"")</f>
        <v/>
      </c>
      <c r="E30" s="262" t="str">
        <f ca="1">IFERROR(VLOOKUP('Data Entry Form'!$CG37,tblData[],COLUMN(INDIRECT("tblData[[Gender]]")),0),"")</f>
        <v/>
      </c>
      <c r="F30" s="267" t="str">
        <f ca="1">IFERROR(IF(VLOOKUP('Data Entry Form'!$CG37,tblData[],COLUMN(INDIRECT("tblData[[Day 1]]")),0)=0,"",VLOOKUP('Data Entry Form'!$CG37,tblData[],COLUMN(INDIRECT("tblData[[Day 1]]")),0)),"")</f>
        <v/>
      </c>
      <c r="G30" s="267" t="str">
        <f ca="1">IFERROR(IF(VLOOKUP('Data Entry Form'!$CG37,tblData[],COLUMN(INDIRECT("tblData[[Day 2]]")),0)=0,"",VLOOKUP('Data Entry Form'!$CG37,tblData[],COLUMN(INDIRECT("tblData[[Day 2]]")),0)),"")</f>
        <v/>
      </c>
      <c r="H30" s="267" t="str">
        <f ca="1">IFERROR(IF(VLOOKUP('Data Entry Form'!$CG37,tblData[],COLUMN(INDIRECT("tblData[[Day 3]]")),0)=0,"",VLOOKUP('Data Entry Form'!$CG37,tblData[],COLUMN(INDIRECT("tblData[[Day 3]]")),0)),"")</f>
        <v/>
      </c>
      <c r="I30" s="267" t="str">
        <f ca="1">IFERROR(IF(VLOOKUP('Data Entry Form'!$CG37,tblData[],COLUMN(INDIRECT("tblData[[Day 4]]")),0)=0,"",VLOOKUP('Data Entry Form'!$CG37,tblData[],COLUMN(INDIRECT("tblData[[Day 4]]")),0)),"")</f>
        <v/>
      </c>
      <c r="J30" s="267" t="str">
        <f ca="1">IFERROR(IF(VLOOKUP('Data Entry Form'!$CG37,tblData[],COLUMN(INDIRECT("tblData[[Day 5]]")),0)=0,"",VLOOKUP('Data Entry Form'!$CG37,tblData[],COLUMN(INDIRECT("tblData[[Day 5]]")),0)),"")</f>
        <v/>
      </c>
      <c r="K30" s="267" t="str">
        <f ca="1">IFERROR(IF(VLOOKUP('Data Entry Form'!$CG37,tblData[],COLUMN(INDIRECT("tblData[[Day 6]]")),0)=0,"",VLOOKUP('Data Entry Form'!$CG37,tblData[],COLUMN(INDIRECT("tblData[[Day 6]]")),0)),"")</f>
        <v/>
      </c>
      <c r="L30" s="267" t="str">
        <f ca="1">IFERROR(IF(VLOOKUP('Data Entry Form'!$CG37,tblData[],COLUMN(INDIRECT("tblData[[Day 7]]")),0)=0,"",VLOOKUP('Data Entry Form'!$CG37,tblData[],COLUMN(INDIRECT("tblData[[Day 7]]")),0)),"")</f>
        <v/>
      </c>
      <c r="M30" s="267" t="str">
        <f ca="1">IFERROR(IF(VLOOKUP('Data Entry Form'!$CG37,tblData[],COLUMN(INDIRECT("tblData[[Day 8]]")),0)=0,"",VLOOKUP('Data Entry Form'!$CG37,tblData[],COLUMN(INDIRECT("tblData[[Day 8]]")),0)),"")</f>
        <v/>
      </c>
      <c r="N30" s="267" t="str">
        <f ca="1">IFERROR(IF(VLOOKUP('Data Entry Form'!$CG37,tblData[],COLUMN(INDIRECT("tblData[[Day 9]]")),0)=0,"",VLOOKUP('Data Entry Form'!$CG37,tblData[],COLUMN(INDIRECT("tblData[[Day 9]]")),0)),"")</f>
        <v/>
      </c>
    </row>
    <row r="31" spans="1:14" s="125" customFormat="1" ht="32.1" customHeight="1">
      <c r="A31" s="261" t="str">
        <f ca="1">IFERROR(VLOOKUP('Data Entry Form'!$CG38,tblData[],COLUMN(INDIRECT("tblData[[No]]")),0),"")</f>
        <v/>
      </c>
      <c r="B31" s="262" t="str">
        <f ca="1">IFERROR(VLOOKUP('Data Entry Form'!$CG38,tblData[],COLUMN(INDIRECT("tblData[[Surname]]")),0),"")</f>
        <v/>
      </c>
      <c r="C31" s="262" t="str">
        <f ca="1">IFERROR(VLOOKUP('Data Entry Form'!$CG38,tblData[],COLUMN(INDIRECT("tblData[[Given Name]]")),0),"")</f>
        <v/>
      </c>
      <c r="D31" s="262" t="str">
        <f ca="1">IFERROR(VLOOKUP('Data Entry Form'!$CG38,tblData[],COLUMN(INDIRECT("tblData[[Position]]")),0),"")</f>
        <v/>
      </c>
      <c r="E31" s="262" t="str">
        <f ca="1">IFERROR(VLOOKUP('Data Entry Form'!$CG38,tblData[],COLUMN(INDIRECT("tblData[[Gender]]")),0),"")</f>
        <v/>
      </c>
      <c r="F31" s="267" t="str">
        <f ca="1">IFERROR(IF(VLOOKUP('Data Entry Form'!$CG38,tblData[],COLUMN(INDIRECT("tblData[[Day 1]]")),0)=0,"",VLOOKUP('Data Entry Form'!$CG38,tblData[],COLUMN(INDIRECT("tblData[[Day 1]]")),0)),"")</f>
        <v/>
      </c>
      <c r="G31" s="267" t="str">
        <f ca="1">IFERROR(IF(VLOOKUP('Data Entry Form'!$CG38,tblData[],COLUMN(INDIRECT("tblData[[Day 2]]")),0)=0,"",VLOOKUP('Data Entry Form'!$CG38,tblData[],COLUMN(INDIRECT("tblData[[Day 2]]")),0)),"")</f>
        <v/>
      </c>
      <c r="H31" s="267" t="str">
        <f ca="1">IFERROR(IF(VLOOKUP('Data Entry Form'!$CG38,tblData[],COLUMN(INDIRECT("tblData[[Day 3]]")),0)=0,"",VLOOKUP('Data Entry Form'!$CG38,tblData[],COLUMN(INDIRECT("tblData[[Day 3]]")),0)),"")</f>
        <v/>
      </c>
      <c r="I31" s="267" t="str">
        <f ca="1">IFERROR(IF(VLOOKUP('Data Entry Form'!$CG38,tblData[],COLUMN(INDIRECT("tblData[[Day 4]]")),0)=0,"",VLOOKUP('Data Entry Form'!$CG38,tblData[],COLUMN(INDIRECT("tblData[[Day 4]]")),0)),"")</f>
        <v/>
      </c>
      <c r="J31" s="267" t="str">
        <f ca="1">IFERROR(IF(VLOOKUP('Data Entry Form'!$CG38,tblData[],COLUMN(INDIRECT("tblData[[Day 5]]")),0)=0,"",VLOOKUP('Data Entry Form'!$CG38,tblData[],COLUMN(INDIRECT("tblData[[Day 5]]")),0)),"")</f>
        <v/>
      </c>
      <c r="K31" s="267" t="str">
        <f ca="1">IFERROR(IF(VLOOKUP('Data Entry Form'!$CG38,tblData[],COLUMN(INDIRECT("tblData[[Day 6]]")),0)=0,"",VLOOKUP('Data Entry Form'!$CG38,tblData[],COLUMN(INDIRECT("tblData[[Day 6]]")),0)),"")</f>
        <v/>
      </c>
      <c r="L31" s="267" t="str">
        <f ca="1">IFERROR(IF(VLOOKUP('Data Entry Form'!$CG38,tblData[],COLUMN(INDIRECT("tblData[[Day 7]]")),0)=0,"",VLOOKUP('Data Entry Form'!$CG38,tblData[],COLUMN(INDIRECT("tblData[[Day 7]]")),0)),"")</f>
        <v/>
      </c>
      <c r="M31" s="267" t="str">
        <f ca="1">IFERROR(IF(VLOOKUP('Data Entry Form'!$CG38,tblData[],COLUMN(INDIRECT("tblData[[Day 8]]")),0)=0,"",VLOOKUP('Data Entry Form'!$CG38,tblData[],COLUMN(INDIRECT("tblData[[Day 8]]")),0)),"")</f>
        <v/>
      </c>
      <c r="N31" s="267" t="str">
        <f ca="1">IFERROR(IF(VLOOKUP('Data Entry Form'!$CG38,tblData[],COLUMN(INDIRECT("tblData[[Day 9]]")),0)=0,"",VLOOKUP('Data Entry Form'!$CG38,tblData[],COLUMN(INDIRECT("tblData[[Day 9]]")),0)),"")</f>
        <v/>
      </c>
    </row>
    <row r="32" spans="1:14" s="125" customFormat="1" ht="32.1" customHeight="1">
      <c r="A32" s="261" t="str">
        <f ca="1">IFERROR(VLOOKUP('Data Entry Form'!$CG39,tblData[],COLUMN(INDIRECT("tblData[[No]]")),0),"")</f>
        <v/>
      </c>
      <c r="B32" s="262" t="str">
        <f ca="1">IFERROR(VLOOKUP('Data Entry Form'!$CG39,tblData[],COLUMN(INDIRECT("tblData[[Surname]]")),0),"")</f>
        <v/>
      </c>
      <c r="C32" s="262" t="str">
        <f ca="1">IFERROR(VLOOKUP('Data Entry Form'!$CG39,tblData[],COLUMN(INDIRECT("tblData[[Given Name]]")),0),"")</f>
        <v/>
      </c>
      <c r="D32" s="262" t="str">
        <f ca="1">IFERROR(VLOOKUP('Data Entry Form'!$CG39,tblData[],COLUMN(INDIRECT("tblData[[Position]]")),0),"")</f>
        <v/>
      </c>
      <c r="E32" s="262" t="str">
        <f ca="1">IFERROR(VLOOKUP('Data Entry Form'!$CG39,tblData[],COLUMN(INDIRECT("tblData[[Gender]]")),0),"")</f>
        <v/>
      </c>
      <c r="F32" s="267" t="str">
        <f ca="1">IFERROR(IF(VLOOKUP('Data Entry Form'!$CG39,tblData[],COLUMN(INDIRECT("tblData[[Day 1]]")),0)=0,"",VLOOKUP('Data Entry Form'!$CG39,tblData[],COLUMN(INDIRECT("tblData[[Day 1]]")),0)),"")</f>
        <v/>
      </c>
      <c r="G32" s="267" t="str">
        <f ca="1">IFERROR(IF(VLOOKUP('Data Entry Form'!$CG39,tblData[],COLUMN(INDIRECT("tblData[[Day 2]]")),0)=0,"",VLOOKUP('Data Entry Form'!$CG39,tblData[],COLUMN(INDIRECT("tblData[[Day 2]]")),0)),"")</f>
        <v/>
      </c>
      <c r="H32" s="267" t="str">
        <f ca="1">IFERROR(IF(VLOOKUP('Data Entry Form'!$CG39,tblData[],COLUMN(INDIRECT("tblData[[Day 3]]")),0)=0,"",VLOOKUP('Data Entry Form'!$CG39,tblData[],COLUMN(INDIRECT("tblData[[Day 3]]")),0)),"")</f>
        <v/>
      </c>
      <c r="I32" s="267" t="str">
        <f ca="1">IFERROR(IF(VLOOKUP('Data Entry Form'!$CG39,tblData[],COLUMN(INDIRECT("tblData[[Day 4]]")),0)=0,"",VLOOKUP('Data Entry Form'!$CG39,tblData[],COLUMN(INDIRECT("tblData[[Day 4]]")),0)),"")</f>
        <v/>
      </c>
      <c r="J32" s="267" t="str">
        <f ca="1">IFERROR(IF(VLOOKUP('Data Entry Form'!$CG39,tblData[],COLUMN(INDIRECT("tblData[[Day 5]]")),0)=0,"",VLOOKUP('Data Entry Form'!$CG39,tblData[],COLUMN(INDIRECT("tblData[[Day 5]]")),0)),"")</f>
        <v/>
      </c>
      <c r="K32" s="267" t="str">
        <f ca="1">IFERROR(IF(VLOOKUP('Data Entry Form'!$CG39,tblData[],COLUMN(INDIRECT("tblData[[Day 6]]")),0)=0,"",VLOOKUP('Data Entry Form'!$CG39,tblData[],COLUMN(INDIRECT("tblData[[Day 6]]")),0)),"")</f>
        <v/>
      </c>
      <c r="L32" s="267" t="str">
        <f ca="1">IFERROR(IF(VLOOKUP('Data Entry Form'!$CG39,tblData[],COLUMN(INDIRECT("tblData[[Day 7]]")),0)=0,"",VLOOKUP('Data Entry Form'!$CG39,tblData[],COLUMN(INDIRECT("tblData[[Day 7]]")),0)),"")</f>
        <v/>
      </c>
      <c r="M32" s="267" t="str">
        <f ca="1">IFERROR(IF(VLOOKUP('Data Entry Form'!$CG39,tblData[],COLUMN(INDIRECT("tblData[[Day 8]]")),0)=0,"",VLOOKUP('Data Entry Form'!$CG39,tblData[],COLUMN(INDIRECT("tblData[[Day 8]]")),0)),"")</f>
        <v/>
      </c>
      <c r="N32" s="267" t="str">
        <f ca="1">IFERROR(IF(VLOOKUP('Data Entry Form'!$CG39,tblData[],COLUMN(INDIRECT("tblData[[Day 9]]")),0)=0,"",VLOOKUP('Data Entry Form'!$CG39,tblData[],COLUMN(INDIRECT("tblData[[Day 9]]")),0)),"")</f>
        <v/>
      </c>
    </row>
    <row r="33" spans="1:14" s="125" customFormat="1" ht="32.1" customHeight="1">
      <c r="A33" s="261" t="str">
        <f ca="1">IFERROR(VLOOKUP('Data Entry Form'!$CG40,tblData[],COLUMN(INDIRECT("tblData[[No]]")),0),"")</f>
        <v/>
      </c>
      <c r="B33" s="262" t="str">
        <f ca="1">IFERROR(VLOOKUP('Data Entry Form'!$CG40,tblData[],COLUMN(INDIRECT("tblData[[Surname]]")),0),"")</f>
        <v/>
      </c>
      <c r="C33" s="262" t="str">
        <f ca="1">IFERROR(VLOOKUP('Data Entry Form'!$CG40,tblData[],COLUMN(INDIRECT("tblData[[Given Name]]")),0),"")</f>
        <v/>
      </c>
      <c r="D33" s="262" t="str">
        <f ca="1">IFERROR(VLOOKUP('Data Entry Form'!$CG40,tblData[],COLUMN(INDIRECT("tblData[[Position]]")),0),"")</f>
        <v/>
      </c>
      <c r="E33" s="262" t="str">
        <f ca="1">IFERROR(VLOOKUP('Data Entry Form'!$CG40,tblData[],COLUMN(INDIRECT("tblData[[Gender]]")),0),"")</f>
        <v/>
      </c>
      <c r="F33" s="267" t="str">
        <f ca="1">IFERROR(IF(VLOOKUP('Data Entry Form'!$CG40,tblData[],COLUMN(INDIRECT("tblData[[Day 1]]")),0)=0,"",VLOOKUP('Data Entry Form'!$CG40,tblData[],COLUMN(INDIRECT("tblData[[Day 1]]")),0)),"")</f>
        <v/>
      </c>
      <c r="G33" s="267" t="str">
        <f ca="1">IFERROR(IF(VLOOKUP('Data Entry Form'!$CG40,tblData[],COLUMN(INDIRECT("tblData[[Day 2]]")),0)=0,"",VLOOKUP('Data Entry Form'!$CG40,tblData[],COLUMN(INDIRECT("tblData[[Day 2]]")),0)),"")</f>
        <v/>
      </c>
      <c r="H33" s="267" t="str">
        <f ca="1">IFERROR(IF(VLOOKUP('Data Entry Form'!$CG40,tblData[],COLUMN(INDIRECT("tblData[[Day 3]]")),0)=0,"",VLOOKUP('Data Entry Form'!$CG40,tblData[],COLUMN(INDIRECT("tblData[[Day 3]]")),0)),"")</f>
        <v/>
      </c>
      <c r="I33" s="267" t="str">
        <f ca="1">IFERROR(IF(VLOOKUP('Data Entry Form'!$CG40,tblData[],COLUMN(INDIRECT("tblData[[Day 4]]")),0)=0,"",VLOOKUP('Data Entry Form'!$CG40,tblData[],COLUMN(INDIRECT("tblData[[Day 4]]")),0)),"")</f>
        <v/>
      </c>
      <c r="J33" s="267" t="str">
        <f ca="1">IFERROR(IF(VLOOKUP('Data Entry Form'!$CG40,tblData[],COLUMN(INDIRECT("tblData[[Day 5]]")),0)=0,"",VLOOKUP('Data Entry Form'!$CG40,tblData[],COLUMN(INDIRECT("tblData[[Day 5]]")),0)),"")</f>
        <v/>
      </c>
      <c r="K33" s="267" t="str">
        <f ca="1">IFERROR(IF(VLOOKUP('Data Entry Form'!$CG40,tblData[],COLUMN(INDIRECT("tblData[[Day 6]]")),0)=0,"",VLOOKUP('Data Entry Form'!$CG40,tblData[],COLUMN(INDIRECT("tblData[[Day 6]]")),0)),"")</f>
        <v/>
      </c>
      <c r="L33" s="267" t="str">
        <f ca="1">IFERROR(IF(VLOOKUP('Data Entry Form'!$CG40,tblData[],COLUMN(INDIRECT("tblData[[Day 7]]")),0)=0,"",VLOOKUP('Data Entry Form'!$CG40,tblData[],COLUMN(INDIRECT("tblData[[Day 7]]")),0)),"")</f>
        <v/>
      </c>
      <c r="M33" s="267" t="str">
        <f ca="1">IFERROR(IF(VLOOKUP('Data Entry Form'!$CG40,tblData[],COLUMN(INDIRECT("tblData[[Day 8]]")),0)=0,"",VLOOKUP('Data Entry Form'!$CG40,tblData[],COLUMN(INDIRECT("tblData[[Day 8]]")),0)),"")</f>
        <v/>
      </c>
      <c r="N33" s="267" t="str">
        <f ca="1">IFERROR(IF(VLOOKUP('Data Entry Form'!$CG40,tblData[],COLUMN(INDIRECT("tblData[[Day 9]]")),0)=0,"",VLOOKUP('Data Entry Form'!$CG40,tblData[],COLUMN(INDIRECT("tblData[[Day 9]]")),0)),"")</f>
        <v/>
      </c>
    </row>
    <row r="34" spans="1:14" s="125" customFormat="1" ht="32.1" customHeight="1">
      <c r="A34" s="261" t="str">
        <f ca="1">IFERROR(VLOOKUP('Data Entry Form'!$CG41,tblData[],COLUMN(INDIRECT("tblData[[No]]")),0),"")</f>
        <v/>
      </c>
      <c r="B34" s="262" t="str">
        <f ca="1">IFERROR(VLOOKUP('Data Entry Form'!$CG41,tblData[],COLUMN(INDIRECT("tblData[[Surname]]")),0),"")</f>
        <v/>
      </c>
      <c r="C34" s="262" t="str">
        <f ca="1">IFERROR(VLOOKUP('Data Entry Form'!$CG41,tblData[],COLUMN(INDIRECT("tblData[[Given Name]]")),0),"")</f>
        <v/>
      </c>
      <c r="D34" s="262" t="str">
        <f ca="1">IFERROR(VLOOKUP('Data Entry Form'!$CG41,tblData[],COLUMN(INDIRECT("tblData[[Position]]")),0),"")</f>
        <v/>
      </c>
      <c r="E34" s="262" t="str">
        <f ca="1">IFERROR(VLOOKUP('Data Entry Form'!$CG41,tblData[],COLUMN(INDIRECT("tblData[[Gender]]")),0),"")</f>
        <v/>
      </c>
      <c r="F34" s="267" t="str">
        <f ca="1">IFERROR(IF(VLOOKUP('Data Entry Form'!$CG41,tblData[],COLUMN(INDIRECT("tblData[[Day 1]]")),0)=0,"",VLOOKUP('Data Entry Form'!$CG41,tblData[],COLUMN(INDIRECT("tblData[[Day 1]]")),0)),"")</f>
        <v/>
      </c>
      <c r="G34" s="267" t="str">
        <f ca="1">IFERROR(IF(VLOOKUP('Data Entry Form'!$CG41,tblData[],COLUMN(INDIRECT("tblData[[Day 2]]")),0)=0,"",VLOOKUP('Data Entry Form'!$CG41,tblData[],COLUMN(INDIRECT("tblData[[Day 2]]")),0)),"")</f>
        <v/>
      </c>
      <c r="H34" s="267" t="str">
        <f ca="1">IFERROR(IF(VLOOKUP('Data Entry Form'!$CG41,tblData[],COLUMN(INDIRECT("tblData[[Day 3]]")),0)=0,"",VLOOKUP('Data Entry Form'!$CG41,tblData[],COLUMN(INDIRECT("tblData[[Day 3]]")),0)),"")</f>
        <v/>
      </c>
      <c r="I34" s="267" t="str">
        <f ca="1">IFERROR(IF(VLOOKUP('Data Entry Form'!$CG41,tblData[],COLUMN(INDIRECT("tblData[[Day 4]]")),0)=0,"",VLOOKUP('Data Entry Form'!$CG41,tblData[],COLUMN(INDIRECT("tblData[[Day 4]]")),0)),"")</f>
        <v/>
      </c>
      <c r="J34" s="267" t="str">
        <f ca="1">IFERROR(IF(VLOOKUP('Data Entry Form'!$CG41,tblData[],COLUMN(INDIRECT("tblData[[Day 5]]")),0)=0,"",VLOOKUP('Data Entry Form'!$CG41,tblData[],COLUMN(INDIRECT("tblData[[Day 5]]")),0)),"")</f>
        <v/>
      </c>
      <c r="K34" s="267" t="str">
        <f ca="1">IFERROR(IF(VLOOKUP('Data Entry Form'!$CG41,tblData[],COLUMN(INDIRECT("tblData[[Day 6]]")),0)=0,"",VLOOKUP('Data Entry Form'!$CG41,tblData[],COLUMN(INDIRECT("tblData[[Day 6]]")),0)),"")</f>
        <v/>
      </c>
      <c r="L34" s="267" t="str">
        <f ca="1">IFERROR(IF(VLOOKUP('Data Entry Form'!$CG41,tblData[],COLUMN(INDIRECT("tblData[[Day 7]]")),0)=0,"",VLOOKUP('Data Entry Form'!$CG41,tblData[],COLUMN(INDIRECT("tblData[[Day 7]]")),0)),"")</f>
        <v/>
      </c>
      <c r="M34" s="267" t="str">
        <f ca="1">IFERROR(IF(VLOOKUP('Data Entry Form'!$CG41,tblData[],COLUMN(INDIRECT("tblData[[Day 8]]")),0)=0,"",VLOOKUP('Data Entry Form'!$CG41,tblData[],COLUMN(INDIRECT("tblData[[Day 8]]")),0)),"")</f>
        <v/>
      </c>
      <c r="N34" s="267" t="str">
        <f ca="1">IFERROR(IF(VLOOKUP('Data Entry Form'!$CG41,tblData[],COLUMN(INDIRECT("tblData[[Day 9]]")),0)=0,"",VLOOKUP('Data Entry Form'!$CG41,tblData[],COLUMN(INDIRECT("tblData[[Day 9]]")),0)),"")</f>
        <v/>
      </c>
    </row>
    <row r="35" spans="1:14" s="125" customFormat="1" ht="32.1" customHeight="1">
      <c r="A35" s="261" t="str">
        <f ca="1">IFERROR(VLOOKUP('Data Entry Form'!$CG42,tblData[],COLUMN(INDIRECT("tblData[[No]]")),0),"")</f>
        <v/>
      </c>
      <c r="B35" s="262" t="str">
        <f ca="1">IFERROR(VLOOKUP('Data Entry Form'!$CG42,tblData[],COLUMN(INDIRECT("tblData[[Surname]]")),0),"")</f>
        <v/>
      </c>
      <c r="C35" s="262" t="str">
        <f ca="1">IFERROR(VLOOKUP('Data Entry Form'!$CG42,tblData[],COLUMN(INDIRECT("tblData[[Given Name]]")),0),"")</f>
        <v/>
      </c>
      <c r="D35" s="262" t="str">
        <f ca="1">IFERROR(VLOOKUP('Data Entry Form'!$CG42,tblData[],COLUMN(INDIRECT("tblData[[Position]]")),0),"")</f>
        <v/>
      </c>
      <c r="E35" s="262" t="str">
        <f ca="1">IFERROR(VLOOKUP('Data Entry Form'!$CG42,tblData[],COLUMN(INDIRECT("tblData[[Gender]]")),0),"")</f>
        <v/>
      </c>
      <c r="F35" s="267" t="str">
        <f ca="1">IFERROR(IF(VLOOKUP('Data Entry Form'!$CG42,tblData[],COLUMN(INDIRECT("tblData[[Day 1]]")),0)=0,"",VLOOKUP('Data Entry Form'!$CG42,tblData[],COLUMN(INDIRECT("tblData[[Day 1]]")),0)),"")</f>
        <v/>
      </c>
      <c r="G35" s="267" t="str">
        <f ca="1">IFERROR(IF(VLOOKUP('Data Entry Form'!$CG42,tblData[],COLUMN(INDIRECT("tblData[[Day 2]]")),0)=0,"",VLOOKUP('Data Entry Form'!$CG42,tblData[],COLUMN(INDIRECT("tblData[[Day 2]]")),0)),"")</f>
        <v/>
      </c>
      <c r="H35" s="267" t="str">
        <f ca="1">IFERROR(IF(VLOOKUP('Data Entry Form'!$CG42,tblData[],COLUMN(INDIRECT("tblData[[Day 3]]")),0)=0,"",VLOOKUP('Data Entry Form'!$CG42,tblData[],COLUMN(INDIRECT("tblData[[Day 3]]")),0)),"")</f>
        <v/>
      </c>
      <c r="I35" s="267" t="str">
        <f ca="1">IFERROR(IF(VLOOKUP('Data Entry Form'!$CG42,tblData[],COLUMN(INDIRECT("tblData[[Day 4]]")),0)=0,"",VLOOKUP('Data Entry Form'!$CG42,tblData[],COLUMN(INDIRECT("tblData[[Day 4]]")),0)),"")</f>
        <v/>
      </c>
      <c r="J35" s="267" t="str">
        <f ca="1">IFERROR(IF(VLOOKUP('Data Entry Form'!$CG42,tblData[],COLUMN(INDIRECT("tblData[[Day 5]]")),0)=0,"",VLOOKUP('Data Entry Form'!$CG42,tblData[],COLUMN(INDIRECT("tblData[[Day 5]]")),0)),"")</f>
        <v/>
      </c>
      <c r="K35" s="267" t="str">
        <f ca="1">IFERROR(IF(VLOOKUP('Data Entry Form'!$CG42,tblData[],COLUMN(INDIRECT("tblData[[Day 6]]")),0)=0,"",VLOOKUP('Data Entry Form'!$CG42,tblData[],COLUMN(INDIRECT("tblData[[Day 6]]")),0)),"")</f>
        <v/>
      </c>
      <c r="L35" s="267" t="str">
        <f ca="1">IFERROR(IF(VLOOKUP('Data Entry Form'!$CG42,tblData[],COLUMN(INDIRECT("tblData[[Day 7]]")),0)=0,"",VLOOKUP('Data Entry Form'!$CG42,tblData[],COLUMN(INDIRECT("tblData[[Day 7]]")),0)),"")</f>
        <v/>
      </c>
      <c r="M35" s="267" t="str">
        <f ca="1">IFERROR(IF(VLOOKUP('Data Entry Form'!$CG42,tblData[],COLUMN(INDIRECT("tblData[[Day 8]]")),0)=0,"",VLOOKUP('Data Entry Form'!$CG42,tblData[],COLUMN(INDIRECT("tblData[[Day 8]]")),0)),"")</f>
        <v/>
      </c>
      <c r="N35" s="267" t="str">
        <f ca="1">IFERROR(IF(VLOOKUP('Data Entry Form'!$CG42,tblData[],COLUMN(INDIRECT("tblData[[Day 9]]")),0)=0,"",VLOOKUP('Data Entry Form'!$CG42,tblData[],COLUMN(INDIRECT("tblData[[Day 9]]")),0)),"")</f>
        <v/>
      </c>
    </row>
    <row r="36" spans="1:14" s="125" customFormat="1" ht="32.1" customHeight="1">
      <c r="A36" s="261" t="str">
        <f ca="1">IFERROR(VLOOKUP('Data Entry Form'!$CG43,tblData[],COLUMN(INDIRECT("tblData[[No]]")),0),"")</f>
        <v/>
      </c>
      <c r="B36" s="262" t="str">
        <f ca="1">IFERROR(VLOOKUP('Data Entry Form'!$CG43,tblData[],COLUMN(INDIRECT("tblData[[Surname]]")),0),"")</f>
        <v/>
      </c>
      <c r="C36" s="262" t="str">
        <f ca="1">IFERROR(VLOOKUP('Data Entry Form'!$CG43,tblData[],COLUMN(INDIRECT("tblData[[Given Name]]")),0),"")</f>
        <v/>
      </c>
      <c r="D36" s="262" t="str">
        <f ca="1">IFERROR(VLOOKUP('Data Entry Form'!$CG43,tblData[],COLUMN(INDIRECT("tblData[[Position]]")),0),"")</f>
        <v/>
      </c>
      <c r="E36" s="262" t="str">
        <f ca="1">IFERROR(VLOOKUP('Data Entry Form'!$CG43,tblData[],COLUMN(INDIRECT("tblData[[Gender]]")),0),"")</f>
        <v/>
      </c>
      <c r="F36" s="267" t="str">
        <f ca="1">IFERROR(IF(VLOOKUP('Data Entry Form'!$CG43,tblData[],COLUMN(INDIRECT("tblData[[Day 1]]")),0)=0,"",VLOOKUP('Data Entry Form'!$CG43,tblData[],COLUMN(INDIRECT("tblData[[Day 1]]")),0)),"")</f>
        <v/>
      </c>
      <c r="G36" s="267" t="str">
        <f ca="1">IFERROR(IF(VLOOKUP('Data Entry Form'!$CG43,tblData[],COLUMN(INDIRECT("tblData[[Day 2]]")),0)=0,"",VLOOKUP('Data Entry Form'!$CG43,tblData[],COLUMN(INDIRECT("tblData[[Day 2]]")),0)),"")</f>
        <v/>
      </c>
      <c r="H36" s="267" t="str">
        <f ca="1">IFERROR(IF(VLOOKUP('Data Entry Form'!$CG43,tblData[],COLUMN(INDIRECT("tblData[[Day 3]]")),0)=0,"",VLOOKUP('Data Entry Form'!$CG43,tblData[],COLUMN(INDIRECT("tblData[[Day 3]]")),0)),"")</f>
        <v/>
      </c>
      <c r="I36" s="267" t="str">
        <f ca="1">IFERROR(IF(VLOOKUP('Data Entry Form'!$CG43,tblData[],COLUMN(INDIRECT("tblData[[Day 4]]")),0)=0,"",VLOOKUP('Data Entry Form'!$CG43,tblData[],COLUMN(INDIRECT("tblData[[Day 4]]")),0)),"")</f>
        <v/>
      </c>
      <c r="J36" s="267" t="str">
        <f ca="1">IFERROR(IF(VLOOKUP('Data Entry Form'!$CG43,tblData[],COLUMN(INDIRECT("tblData[[Day 5]]")),0)=0,"",VLOOKUP('Data Entry Form'!$CG43,tblData[],COLUMN(INDIRECT("tblData[[Day 5]]")),0)),"")</f>
        <v/>
      </c>
      <c r="K36" s="267" t="str">
        <f ca="1">IFERROR(IF(VLOOKUP('Data Entry Form'!$CG43,tblData[],COLUMN(INDIRECT("tblData[[Day 6]]")),0)=0,"",VLOOKUP('Data Entry Form'!$CG43,tblData[],COLUMN(INDIRECT("tblData[[Day 6]]")),0)),"")</f>
        <v/>
      </c>
      <c r="L36" s="267" t="str">
        <f ca="1">IFERROR(IF(VLOOKUP('Data Entry Form'!$CG43,tblData[],COLUMN(INDIRECT("tblData[[Day 7]]")),0)=0,"",VLOOKUP('Data Entry Form'!$CG43,tblData[],COLUMN(INDIRECT("tblData[[Day 7]]")),0)),"")</f>
        <v/>
      </c>
      <c r="M36" s="267" t="str">
        <f ca="1">IFERROR(IF(VLOOKUP('Data Entry Form'!$CG43,tblData[],COLUMN(INDIRECT("tblData[[Day 8]]")),0)=0,"",VLOOKUP('Data Entry Form'!$CG43,tblData[],COLUMN(INDIRECT("tblData[[Day 8]]")),0)),"")</f>
        <v/>
      </c>
      <c r="N36" s="267" t="str">
        <f ca="1">IFERROR(IF(VLOOKUP('Data Entry Form'!$CG43,tblData[],COLUMN(INDIRECT("tblData[[Day 9]]")),0)=0,"",VLOOKUP('Data Entry Form'!$CG43,tblData[],COLUMN(INDIRECT("tblData[[Day 9]]")),0)),"")</f>
        <v/>
      </c>
    </row>
    <row r="37" spans="1:14" s="125" customFormat="1" ht="32.1" customHeight="1">
      <c r="A37" s="261" t="str">
        <f ca="1">IFERROR(VLOOKUP('Data Entry Form'!$CG44,tblData[],COLUMN(INDIRECT("tblData[[No]]")),0),"")</f>
        <v/>
      </c>
      <c r="B37" s="262" t="str">
        <f ca="1">IFERROR(VLOOKUP('Data Entry Form'!$CG44,tblData[],COLUMN(INDIRECT("tblData[[Surname]]")),0),"")</f>
        <v/>
      </c>
      <c r="C37" s="262" t="str">
        <f ca="1">IFERROR(VLOOKUP('Data Entry Form'!$CG44,tblData[],COLUMN(INDIRECT("tblData[[Given Name]]")),0),"")</f>
        <v/>
      </c>
      <c r="D37" s="262" t="str">
        <f ca="1">IFERROR(VLOOKUP('Data Entry Form'!$CG44,tblData[],COLUMN(INDIRECT("tblData[[Position]]")),0),"")</f>
        <v/>
      </c>
      <c r="E37" s="262" t="str">
        <f ca="1">IFERROR(VLOOKUP('Data Entry Form'!$CG44,tblData[],COLUMN(INDIRECT("tblData[[Gender]]")),0),"")</f>
        <v/>
      </c>
      <c r="F37" s="267" t="str">
        <f ca="1">IFERROR(IF(VLOOKUP('Data Entry Form'!$CG44,tblData[],COLUMN(INDIRECT("tblData[[Day 1]]")),0)=0,"",VLOOKUP('Data Entry Form'!$CG44,tblData[],COLUMN(INDIRECT("tblData[[Day 1]]")),0)),"")</f>
        <v/>
      </c>
      <c r="G37" s="267" t="str">
        <f ca="1">IFERROR(IF(VLOOKUP('Data Entry Form'!$CG44,tblData[],COLUMN(INDIRECT("tblData[[Day 2]]")),0)=0,"",VLOOKUP('Data Entry Form'!$CG44,tblData[],COLUMN(INDIRECT("tblData[[Day 2]]")),0)),"")</f>
        <v/>
      </c>
      <c r="H37" s="267" t="str">
        <f ca="1">IFERROR(IF(VLOOKUP('Data Entry Form'!$CG44,tblData[],COLUMN(INDIRECT("tblData[[Day 3]]")),0)=0,"",VLOOKUP('Data Entry Form'!$CG44,tblData[],COLUMN(INDIRECT("tblData[[Day 3]]")),0)),"")</f>
        <v/>
      </c>
      <c r="I37" s="267" t="str">
        <f ca="1">IFERROR(IF(VLOOKUP('Data Entry Form'!$CG44,tblData[],COLUMN(INDIRECT("tblData[[Day 4]]")),0)=0,"",VLOOKUP('Data Entry Form'!$CG44,tblData[],COLUMN(INDIRECT("tblData[[Day 4]]")),0)),"")</f>
        <v/>
      </c>
      <c r="J37" s="267" t="str">
        <f ca="1">IFERROR(IF(VLOOKUP('Data Entry Form'!$CG44,tblData[],COLUMN(INDIRECT("tblData[[Day 5]]")),0)=0,"",VLOOKUP('Data Entry Form'!$CG44,tblData[],COLUMN(INDIRECT("tblData[[Day 5]]")),0)),"")</f>
        <v/>
      </c>
      <c r="K37" s="267" t="str">
        <f ca="1">IFERROR(IF(VLOOKUP('Data Entry Form'!$CG44,tblData[],COLUMN(INDIRECT("tblData[[Day 6]]")),0)=0,"",VLOOKUP('Data Entry Form'!$CG44,tblData[],COLUMN(INDIRECT("tblData[[Day 6]]")),0)),"")</f>
        <v/>
      </c>
      <c r="L37" s="267" t="str">
        <f ca="1">IFERROR(IF(VLOOKUP('Data Entry Form'!$CG44,tblData[],COLUMN(INDIRECT("tblData[[Day 7]]")),0)=0,"",VLOOKUP('Data Entry Form'!$CG44,tblData[],COLUMN(INDIRECT("tblData[[Day 7]]")),0)),"")</f>
        <v/>
      </c>
      <c r="M37" s="267" t="str">
        <f ca="1">IFERROR(IF(VLOOKUP('Data Entry Form'!$CG44,tblData[],COLUMN(INDIRECT("tblData[[Day 8]]")),0)=0,"",VLOOKUP('Data Entry Form'!$CG44,tblData[],COLUMN(INDIRECT("tblData[[Day 8]]")),0)),"")</f>
        <v/>
      </c>
      <c r="N37" s="267" t="str">
        <f ca="1">IFERROR(IF(VLOOKUP('Data Entry Form'!$CG44,tblData[],COLUMN(INDIRECT("tblData[[Day 9]]")),0)=0,"",VLOOKUP('Data Entry Form'!$CG44,tblData[],COLUMN(INDIRECT("tblData[[Day 9]]")),0)),"")</f>
        <v/>
      </c>
    </row>
    <row r="38" spans="1:14" s="125" customFormat="1" ht="32.1" customHeight="1">
      <c r="A38" s="261" t="str">
        <f ca="1">IFERROR(VLOOKUP('Data Entry Form'!$CG45,tblData[],COLUMN(INDIRECT("tblData[[No]]")),0),"")</f>
        <v/>
      </c>
      <c r="B38" s="262" t="str">
        <f ca="1">IFERROR(VLOOKUP('Data Entry Form'!$CG45,tblData[],COLUMN(INDIRECT("tblData[[Surname]]")),0),"")</f>
        <v/>
      </c>
      <c r="C38" s="262" t="str">
        <f ca="1">IFERROR(VLOOKUP('Data Entry Form'!$CG45,tblData[],COLUMN(INDIRECT("tblData[[Given Name]]")),0),"")</f>
        <v/>
      </c>
      <c r="D38" s="262" t="str">
        <f ca="1">IFERROR(VLOOKUP('Data Entry Form'!$CG45,tblData[],COLUMN(INDIRECT("tblData[[Position]]")),0),"")</f>
        <v/>
      </c>
      <c r="E38" s="262" t="str">
        <f ca="1">IFERROR(VLOOKUP('Data Entry Form'!$CG45,tblData[],COLUMN(INDIRECT("tblData[[Gender]]")),0),"")</f>
        <v/>
      </c>
      <c r="F38" s="267" t="str">
        <f ca="1">IFERROR(IF(VLOOKUP('Data Entry Form'!$CG45,tblData[],COLUMN(INDIRECT("tblData[[Day 1]]")),0)=0,"",VLOOKUP('Data Entry Form'!$CG45,tblData[],COLUMN(INDIRECT("tblData[[Day 1]]")),0)),"")</f>
        <v/>
      </c>
      <c r="G38" s="267" t="str">
        <f ca="1">IFERROR(IF(VLOOKUP('Data Entry Form'!$CG45,tblData[],COLUMN(INDIRECT("tblData[[Day 2]]")),0)=0,"",VLOOKUP('Data Entry Form'!$CG45,tblData[],COLUMN(INDIRECT("tblData[[Day 2]]")),0)),"")</f>
        <v/>
      </c>
      <c r="H38" s="267" t="str">
        <f ca="1">IFERROR(IF(VLOOKUP('Data Entry Form'!$CG45,tblData[],COLUMN(INDIRECT("tblData[[Day 3]]")),0)=0,"",VLOOKUP('Data Entry Form'!$CG45,tblData[],COLUMN(INDIRECT("tblData[[Day 3]]")),0)),"")</f>
        <v/>
      </c>
      <c r="I38" s="267" t="str">
        <f ca="1">IFERROR(IF(VLOOKUP('Data Entry Form'!$CG45,tblData[],COLUMN(INDIRECT("tblData[[Day 4]]")),0)=0,"",VLOOKUP('Data Entry Form'!$CG45,tblData[],COLUMN(INDIRECT("tblData[[Day 4]]")),0)),"")</f>
        <v/>
      </c>
      <c r="J38" s="267" t="str">
        <f ca="1">IFERROR(IF(VLOOKUP('Data Entry Form'!$CG45,tblData[],COLUMN(INDIRECT("tblData[[Day 5]]")),0)=0,"",VLOOKUP('Data Entry Form'!$CG45,tblData[],COLUMN(INDIRECT("tblData[[Day 5]]")),0)),"")</f>
        <v/>
      </c>
      <c r="K38" s="267" t="str">
        <f ca="1">IFERROR(IF(VLOOKUP('Data Entry Form'!$CG45,tblData[],COLUMN(INDIRECT("tblData[[Day 6]]")),0)=0,"",VLOOKUP('Data Entry Form'!$CG45,tblData[],COLUMN(INDIRECT("tblData[[Day 6]]")),0)),"")</f>
        <v/>
      </c>
      <c r="L38" s="267" t="str">
        <f ca="1">IFERROR(IF(VLOOKUP('Data Entry Form'!$CG45,tblData[],COLUMN(INDIRECT("tblData[[Day 7]]")),0)=0,"",VLOOKUP('Data Entry Form'!$CG45,tblData[],COLUMN(INDIRECT("tblData[[Day 7]]")),0)),"")</f>
        <v/>
      </c>
      <c r="M38" s="267" t="str">
        <f ca="1">IFERROR(IF(VLOOKUP('Data Entry Form'!$CG45,tblData[],COLUMN(INDIRECT("tblData[[Day 8]]")),0)=0,"",VLOOKUP('Data Entry Form'!$CG45,tblData[],COLUMN(INDIRECT("tblData[[Day 8]]")),0)),"")</f>
        <v/>
      </c>
      <c r="N38" s="267" t="str">
        <f ca="1">IFERROR(IF(VLOOKUP('Data Entry Form'!$CG45,tblData[],COLUMN(INDIRECT("tblData[[Day 9]]")),0)=0,"",VLOOKUP('Data Entry Form'!$CG45,tblData[],COLUMN(INDIRECT("tblData[[Day 9]]")),0)),"")</f>
        <v/>
      </c>
    </row>
    <row r="39" spans="1:14" s="125" customFormat="1" ht="32.1" customHeight="1">
      <c r="A39" s="261" t="str">
        <f ca="1">IFERROR(VLOOKUP('Data Entry Form'!$CG46,tblData[],COLUMN(INDIRECT("tblData[[No]]")),0),"")</f>
        <v/>
      </c>
      <c r="B39" s="262" t="str">
        <f ca="1">IFERROR(VLOOKUP('Data Entry Form'!$CG46,tblData[],COLUMN(INDIRECT("tblData[[Surname]]")),0),"")</f>
        <v/>
      </c>
      <c r="C39" s="262" t="str">
        <f ca="1">IFERROR(VLOOKUP('Data Entry Form'!$CG46,tblData[],COLUMN(INDIRECT("tblData[[Given Name]]")),0),"")</f>
        <v/>
      </c>
      <c r="D39" s="262" t="str">
        <f ca="1">IFERROR(VLOOKUP('Data Entry Form'!$CG46,tblData[],COLUMN(INDIRECT("tblData[[Position]]")),0),"")</f>
        <v/>
      </c>
      <c r="E39" s="262" t="str">
        <f ca="1">IFERROR(VLOOKUP('Data Entry Form'!$CG46,tblData[],COLUMN(INDIRECT("tblData[[Gender]]")),0),"")</f>
        <v/>
      </c>
      <c r="F39" s="267" t="str">
        <f ca="1">IFERROR(IF(VLOOKUP('Data Entry Form'!$CG46,tblData[],COLUMN(INDIRECT("tblData[[Day 1]]")),0)=0,"",VLOOKUP('Data Entry Form'!$CG46,tblData[],COLUMN(INDIRECT("tblData[[Day 1]]")),0)),"")</f>
        <v/>
      </c>
      <c r="G39" s="267" t="str">
        <f ca="1">IFERROR(IF(VLOOKUP('Data Entry Form'!$CG46,tblData[],COLUMN(INDIRECT("tblData[[Day 2]]")),0)=0,"",VLOOKUP('Data Entry Form'!$CG46,tblData[],COLUMN(INDIRECT("tblData[[Day 2]]")),0)),"")</f>
        <v/>
      </c>
      <c r="H39" s="267" t="str">
        <f ca="1">IFERROR(IF(VLOOKUP('Data Entry Form'!$CG46,tblData[],COLUMN(INDIRECT("tblData[[Day 3]]")),0)=0,"",VLOOKUP('Data Entry Form'!$CG46,tblData[],COLUMN(INDIRECT("tblData[[Day 3]]")),0)),"")</f>
        <v/>
      </c>
      <c r="I39" s="267" t="str">
        <f ca="1">IFERROR(IF(VLOOKUP('Data Entry Form'!$CG46,tblData[],COLUMN(INDIRECT("tblData[[Day 4]]")),0)=0,"",VLOOKUP('Data Entry Form'!$CG46,tblData[],COLUMN(INDIRECT("tblData[[Day 4]]")),0)),"")</f>
        <v/>
      </c>
      <c r="J39" s="267" t="str">
        <f ca="1">IFERROR(IF(VLOOKUP('Data Entry Form'!$CG46,tblData[],COLUMN(INDIRECT("tblData[[Day 5]]")),0)=0,"",VLOOKUP('Data Entry Form'!$CG46,tblData[],COLUMN(INDIRECT("tblData[[Day 5]]")),0)),"")</f>
        <v/>
      </c>
      <c r="K39" s="267" t="str">
        <f ca="1">IFERROR(IF(VLOOKUP('Data Entry Form'!$CG46,tblData[],COLUMN(INDIRECT("tblData[[Day 6]]")),0)=0,"",VLOOKUP('Data Entry Form'!$CG46,tblData[],COLUMN(INDIRECT("tblData[[Day 6]]")),0)),"")</f>
        <v/>
      </c>
      <c r="L39" s="267" t="str">
        <f ca="1">IFERROR(IF(VLOOKUP('Data Entry Form'!$CG46,tblData[],COLUMN(INDIRECT("tblData[[Day 7]]")),0)=0,"",VLOOKUP('Data Entry Form'!$CG46,tblData[],COLUMN(INDIRECT("tblData[[Day 7]]")),0)),"")</f>
        <v/>
      </c>
      <c r="M39" s="267" t="str">
        <f ca="1">IFERROR(IF(VLOOKUP('Data Entry Form'!$CG46,tblData[],COLUMN(INDIRECT("tblData[[Day 8]]")),0)=0,"",VLOOKUP('Data Entry Form'!$CG46,tblData[],COLUMN(INDIRECT("tblData[[Day 8]]")),0)),"")</f>
        <v/>
      </c>
      <c r="N39" s="267" t="str">
        <f ca="1">IFERROR(IF(VLOOKUP('Data Entry Form'!$CG46,tblData[],COLUMN(INDIRECT("tblData[[Day 9]]")),0)=0,"",VLOOKUP('Data Entry Form'!$CG46,tblData[],COLUMN(INDIRECT("tblData[[Day 9]]")),0)),"")</f>
        <v/>
      </c>
    </row>
    <row r="40" spans="1:14" s="125" customFormat="1" ht="32.1" customHeight="1">
      <c r="A40" s="261" t="str">
        <f ca="1">IFERROR(VLOOKUP('Data Entry Form'!$CG47,tblData[],COLUMN(INDIRECT("tblData[[No]]")),0),"")</f>
        <v/>
      </c>
      <c r="B40" s="262" t="str">
        <f ca="1">IFERROR(VLOOKUP('Data Entry Form'!$CG47,tblData[],COLUMN(INDIRECT("tblData[[Surname]]")),0),"")</f>
        <v/>
      </c>
      <c r="C40" s="262" t="str">
        <f ca="1">IFERROR(VLOOKUP('Data Entry Form'!$CG47,tblData[],COLUMN(INDIRECT("tblData[[Given Name]]")),0),"")</f>
        <v/>
      </c>
      <c r="D40" s="262" t="str">
        <f ca="1">IFERROR(VLOOKUP('Data Entry Form'!$CG47,tblData[],COLUMN(INDIRECT("tblData[[Position]]")),0),"")</f>
        <v/>
      </c>
      <c r="E40" s="262" t="str">
        <f ca="1">IFERROR(VLOOKUP('Data Entry Form'!$CG47,tblData[],COLUMN(INDIRECT("tblData[[Gender]]")),0),"")</f>
        <v/>
      </c>
      <c r="F40" s="267" t="str">
        <f ca="1">IFERROR(IF(VLOOKUP('Data Entry Form'!$CG47,tblData[],COLUMN(INDIRECT("tblData[[Day 1]]")),0)=0,"",VLOOKUP('Data Entry Form'!$CG47,tblData[],COLUMN(INDIRECT("tblData[[Day 1]]")),0)),"")</f>
        <v/>
      </c>
      <c r="G40" s="267" t="str">
        <f ca="1">IFERROR(IF(VLOOKUP('Data Entry Form'!$CG47,tblData[],COLUMN(INDIRECT("tblData[[Day 2]]")),0)=0,"",VLOOKUP('Data Entry Form'!$CG47,tblData[],COLUMN(INDIRECT("tblData[[Day 2]]")),0)),"")</f>
        <v/>
      </c>
      <c r="H40" s="267" t="str">
        <f ca="1">IFERROR(IF(VLOOKUP('Data Entry Form'!$CG47,tblData[],COLUMN(INDIRECT("tblData[[Day 3]]")),0)=0,"",VLOOKUP('Data Entry Form'!$CG47,tblData[],COLUMN(INDIRECT("tblData[[Day 3]]")),0)),"")</f>
        <v/>
      </c>
      <c r="I40" s="267" t="str">
        <f ca="1">IFERROR(IF(VLOOKUP('Data Entry Form'!$CG47,tblData[],COLUMN(INDIRECT("tblData[[Day 4]]")),0)=0,"",VLOOKUP('Data Entry Form'!$CG47,tblData[],COLUMN(INDIRECT("tblData[[Day 4]]")),0)),"")</f>
        <v/>
      </c>
      <c r="J40" s="267" t="str">
        <f ca="1">IFERROR(IF(VLOOKUP('Data Entry Form'!$CG47,tblData[],COLUMN(INDIRECT("tblData[[Day 5]]")),0)=0,"",VLOOKUP('Data Entry Form'!$CG47,tblData[],COLUMN(INDIRECT("tblData[[Day 5]]")),0)),"")</f>
        <v/>
      </c>
      <c r="K40" s="267" t="str">
        <f ca="1">IFERROR(IF(VLOOKUP('Data Entry Form'!$CG47,tblData[],COLUMN(INDIRECT("tblData[[Day 6]]")),0)=0,"",VLOOKUP('Data Entry Form'!$CG47,tblData[],COLUMN(INDIRECT("tblData[[Day 6]]")),0)),"")</f>
        <v/>
      </c>
      <c r="L40" s="267" t="str">
        <f ca="1">IFERROR(IF(VLOOKUP('Data Entry Form'!$CG47,tblData[],COLUMN(INDIRECT("tblData[[Day 7]]")),0)=0,"",VLOOKUP('Data Entry Form'!$CG47,tblData[],COLUMN(INDIRECT("tblData[[Day 7]]")),0)),"")</f>
        <v/>
      </c>
      <c r="M40" s="267" t="str">
        <f ca="1">IFERROR(IF(VLOOKUP('Data Entry Form'!$CG47,tblData[],COLUMN(INDIRECT("tblData[[Day 8]]")),0)=0,"",VLOOKUP('Data Entry Form'!$CG47,tblData[],COLUMN(INDIRECT("tblData[[Day 8]]")),0)),"")</f>
        <v/>
      </c>
      <c r="N40" s="267" t="str">
        <f ca="1">IFERROR(IF(VLOOKUP('Data Entry Form'!$CG47,tblData[],COLUMN(INDIRECT("tblData[[Day 9]]")),0)=0,"",VLOOKUP('Data Entry Form'!$CG47,tblData[],COLUMN(INDIRECT("tblData[[Day 9]]")),0)),"")</f>
        <v/>
      </c>
    </row>
    <row r="41" spans="1:14" s="125" customFormat="1" ht="32.1" customHeight="1">
      <c r="A41" s="261" t="str">
        <f ca="1">IFERROR(VLOOKUP('Data Entry Form'!$CG48,tblData[],COLUMN(INDIRECT("tblData[[No]]")),0),"")</f>
        <v/>
      </c>
      <c r="B41" s="262" t="str">
        <f ca="1">IFERROR(VLOOKUP('Data Entry Form'!$CG48,tblData[],COLUMN(INDIRECT("tblData[[Surname]]")),0),"")</f>
        <v/>
      </c>
      <c r="C41" s="262" t="str">
        <f ca="1">IFERROR(VLOOKUP('Data Entry Form'!$CG48,tblData[],COLUMN(INDIRECT("tblData[[Given Name]]")),0),"")</f>
        <v/>
      </c>
      <c r="D41" s="262" t="str">
        <f ca="1">IFERROR(VLOOKUP('Data Entry Form'!$CG48,tblData[],COLUMN(INDIRECT("tblData[[Position]]")),0),"")</f>
        <v/>
      </c>
      <c r="E41" s="262" t="str">
        <f ca="1">IFERROR(VLOOKUP('Data Entry Form'!$CG48,tblData[],COLUMN(INDIRECT("tblData[[Gender]]")),0),"")</f>
        <v/>
      </c>
      <c r="F41" s="267" t="str">
        <f ca="1">IFERROR(IF(VLOOKUP('Data Entry Form'!$CG48,tblData[],COLUMN(INDIRECT("tblData[[Day 1]]")),0)=0,"",VLOOKUP('Data Entry Form'!$CG48,tblData[],COLUMN(INDIRECT("tblData[[Day 1]]")),0)),"")</f>
        <v/>
      </c>
      <c r="G41" s="267" t="str">
        <f ca="1">IFERROR(IF(VLOOKUP('Data Entry Form'!$CG48,tblData[],COLUMN(INDIRECT("tblData[[Day 2]]")),0)=0,"",VLOOKUP('Data Entry Form'!$CG48,tblData[],COLUMN(INDIRECT("tblData[[Day 2]]")),0)),"")</f>
        <v/>
      </c>
      <c r="H41" s="267" t="str">
        <f ca="1">IFERROR(IF(VLOOKUP('Data Entry Form'!$CG48,tblData[],COLUMN(INDIRECT("tblData[[Day 3]]")),0)=0,"",VLOOKUP('Data Entry Form'!$CG48,tblData[],COLUMN(INDIRECT("tblData[[Day 3]]")),0)),"")</f>
        <v/>
      </c>
      <c r="I41" s="267" t="str">
        <f ca="1">IFERROR(IF(VLOOKUP('Data Entry Form'!$CG48,tblData[],COLUMN(INDIRECT("tblData[[Day 4]]")),0)=0,"",VLOOKUP('Data Entry Form'!$CG48,tblData[],COLUMN(INDIRECT("tblData[[Day 4]]")),0)),"")</f>
        <v/>
      </c>
      <c r="J41" s="267" t="str">
        <f ca="1">IFERROR(IF(VLOOKUP('Data Entry Form'!$CG48,tblData[],COLUMN(INDIRECT("tblData[[Day 5]]")),0)=0,"",VLOOKUP('Data Entry Form'!$CG48,tblData[],COLUMN(INDIRECT("tblData[[Day 5]]")),0)),"")</f>
        <v/>
      </c>
      <c r="K41" s="267" t="str">
        <f ca="1">IFERROR(IF(VLOOKUP('Data Entry Form'!$CG48,tblData[],COLUMN(INDIRECT("tblData[[Day 6]]")),0)=0,"",VLOOKUP('Data Entry Form'!$CG48,tblData[],COLUMN(INDIRECT("tblData[[Day 6]]")),0)),"")</f>
        <v/>
      </c>
      <c r="L41" s="267" t="str">
        <f ca="1">IFERROR(IF(VLOOKUP('Data Entry Form'!$CG48,tblData[],COLUMN(INDIRECT("tblData[[Day 7]]")),0)=0,"",VLOOKUP('Data Entry Form'!$CG48,tblData[],COLUMN(INDIRECT("tblData[[Day 7]]")),0)),"")</f>
        <v/>
      </c>
      <c r="M41" s="267" t="str">
        <f ca="1">IFERROR(IF(VLOOKUP('Data Entry Form'!$CG48,tblData[],COLUMN(INDIRECT("tblData[[Day 8]]")),0)=0,"",VLOOKUP('Data Entry Form'!$CG48,tblData[],COLUMN(INDIRECT("tblData[[Day 8]]")),0)),"")</f>
        <v/>
      </c>
      <c r="N41" s="267" t="str">
        <f ca="1">IFERROR(IF(VLOOKUP('Data Entry Form'!$CG48,tblData[],COLUMN(INDIRECT("tblData[[Day 9]]")),0)=0,"",VLOOKUP('Data Entry Form'!$CG48,tblData[],COLUMN(INDIRECT("tblData[[Day 9]]")),0)),"")</f>
        <v/>
      </c>
    </row>
    <row r="42" spans="1:14" s="125" customFormat="1" ht="32.1" customHeight="1">
      <c r="A42" s="261" t="str">
        <f ca="1">IFERROR(VLOOKUP('Data Entry Form'!$CG49,tblData[],COLUMN(INDIRECT("tblData[[No]]")),0),"")</f>
        <v/>
      </c>
      <c r="B42" s="262" t="str">
        <f ca="1">IFERROR(VLOOKUP('Data Entry Form'!$CG49,tblData[],COLUMN(INDIRECT("tblData[[Surname]]")),0),"")</f>
        <v/>
      </c>
      <c r="C42" s="262" t="str">
        <f ca="1">IFERROR(VLOOKUP('Data Entry Form'!$CG49,tblData[],COLUMN(INDIRECT("tblData[[Given Name]]")),0),"")</f>
        <v/>
      </c>
      <c r="D42" s="262" t="str">
        <f ca="1">IFERROR(VLOOKUP('Data Entry Form'!$CG49,tblData[],COLUMN(INDIRECT("tblData[[Position]]")),0),"")</f>
        <v/>
      </c>
      <c r="E42" s="262" t="str">
        <f ca="1">IFERROR(VLOOKUP('Data Entry Form'!$CG49,tblData[],COLUMN(INDIRECT("tblData[[Gender]]")),0),"")</f>
        <v/>
      </c>
      <c r="F42" s="267" t="str">
        <f ca="1">IFERROR(IF(VLOOKUP('Data Entry Form'!$CG49,tblData[],COLUMN(INDIRECT("tblData[[Day 1]]")),0)=0,"",VLOOKUP('Data Entry Form'!$CG49,tblData[],COLUMN(INDIRECT("tblData[[Day 1]]")),0)),"")</f>
        <v/>
      </c>
      <c r="G42" s="267" t="str">
        <f ca="1">IFERROR(IF(VLOOKUP('Data Entry Form'!$CG49,tblData[],COLUMN(INDIRECT("tblData[[Day 2]]")),0)=0,"",VLOOKUP('Data Entry Form'!$CG49,tblData[],COLUMN(INDIRECT("tblData[[Day 2]]")),0)),"")</f>
        <v/>
      </c>
      <c r="H42" s="267" t="str">
        <f ca="1">IFERROR(IF(VLOOKUP('Data Entry Form'!$CG49,tblData[],COLUMN(INDIRECT("tblData[[Day 3]]")),0)=0,"",VLOOKUP('Data Entry Form'!$CG49,tblData[],COLUMN(INDIRECT("tblData[[Day 3]]")),0)),"")</f>
        <v/>
      </c>
      <c r="I42" s="267" t="str">
        <f ca="1">IFERROR(IF(VLOOKUP('Data Entry Form'!$CG49,tblData[],COLUMN(INDIRECT("tblData[[Day 4]]")),0)=0,"",VLOOKUP('Data Entry Form'!$CG49,tblData[],COLUMN(INDIRECT("tblData[[Day 4]]")),0)),"")</f>
        <v/>
      </c>
      <c r="J42" s="267" t="str">
        <f ca="1">IFERROR(IF(VLOOKUP('Data Entry Form'!$CG49,tblData[],COLUMN(INDIRECT("tblData[[Day 5]]")),0)=0,"",VLOOKUP('Data Entry Form'!$CG49,tblData[],COLUMN(INDIRECT("tblData[[Day 5]]")),0)),"")</f>
        <v/>
      </c>
      <c r="K42" s="267" t="str">
        <f ca="1">IFERROR(IF(VLOOKUP('Data Entry Form'!$CG49,tblData[],COLUMN(INDIRECT("tblData[[Day 6]]")),0)=0,"",VLOOKUP('Data Entry Form'!$CG49,tblData[],COLUMN(INDIRECT("tblData[[Day 6]]")),0)),"")</f>
        <v/>
      </c>
      <c r="L42" s="267" t="str">
        <f ca="1">IFERROR(IF(VLOOKUP('Data Entry Form'!$CG49,tblData[],COLUMN(INDIRECT("tblData[[Day 7]]")),0)=0,"",VLOOKUP('Data Entry Form'!$CG49,tblData[],COLUMN(INDIRECT("tblData[[Day 7]]")),0)),"")</f>
        <v/>
      </c>
      <c r="M42" s="267" t="str">
        <f ca="1">IFERROR(IF(VLOOKUP('Data Entry Form'!$CG49,tblData[],COLUMN(INDIRECT("tblData[[Day 8]]")),0)=0,"",VLOOKUP('Data Entry Form'!$CG49,tblData[],COLUMN(INDIRECT("tblData[[Day 8]]")),0)),"")</f>
        <v/>
      </c>
      <c r="N42" s="267" t="str">
        <f ca="1">IFERROR(IF(VLOOKUP('Data Entry Form'!$CG49,tblData[],COLUMN(INDIRECT("tblData[[Day 9]]")),0)=0,"",VLOOKUP('Data Entry Form'!$CG49,tblData[],COLUMN(INDIRECT("tblData[[Day 9]]")),0)),"")</f>
        <v/>
      </c>
    </row>
    <row r="43" spans="1:14" s="125" customFormat="1" ht="32.1" customHeight="1">
      <c r="A43" s="261" t="str">
        <f ca="1">IFERROR(VLOOKUP('Data Entry Form'!$CG50,tblData[],COLUMN(INDIRECT("tblData[[No]]")),0),"")</f>
        <v/>
      </c>
      <c r="B43" s="262" t="str">
        <f ca="1">IFERROR(VLOOKUP('Data Entry Form'!$CG50,tblData[],COLUMN(INDIRECT("tblData[[Surname]]")),0),"")</f>
        <v/>
      </c>
      <c r="C43" s="262" t="str">
        <f ca="1">IFERROR(VLOOKUP('Data Entry Form'!$CG50,tblData[],COLUMN(INDIRECT("tblData[[Given Name]]")),0),"")</f>
        <v/>
      </c>
      <c r="D43" s="262" t="str">
        <f ca="1">IFERROR(VLOOKUP('Data Entry Form'!$CG50,tblData[],COLUMN(INDIRECT("tblData[[Position]]")),0),"")</f>
        <v/>
      </c>
      <c r="E43" s="262" t="str">
        <f ca="1">IFERROR(VLOOKUP('Data Entry Form'!$CG50,tblData[],COLUMN(INDIRECT("tblData[[Gender]]")),0),"")</f>
        <v/>
      </c>
      <c r="F43" s="267" t="str">
        <f ca="1">IFERROR(IF(VLOOKUP('Data Entry Form'!$CG50,tblData[],COLUMN(INDIRECT("tblData[[Day 1]]")),0)=0,"",VLOOKUP('Data Entry Form'!$CG50,tblData[],COLUMN(INDIRECT("tblData[[Day 1]]")),0)),"")</f>
        <v/>
      </c>
      <c r="G43" s="267" t="str">
        <f ca="1">IFERROR(IF(VLOOKUP('Data Entry Form'!$CG50,tblData[],COLUMN(INDIRECT("tblData[[Day 2]]")),0)=0,"",VLOOKUP('Data Entry Form'!$CG50,tblData[],COLUMN(INDIRECT("tblData[[Day 2]]")),0)),"")</f>
        <v/>
      </c>
      <c r="H43" s="267" t="str">
        <f ca="1">IFERROR(IF(VLOOKUP('Data Entry Form'!$CG50,tblData[],COLUMN(INDIRECT("tblData[[Day 3]]")),0)=0,"",VLOOKUP('Data Entry Form'!$CG50,tblData[],COLUMN(INDIRECT("tblData[[Day 3]]")),0)),"")</f>
        <v/>
      </c>
      <c r="I43" s="267" t="str">
        <f ca="1">IFERROR(IF(VLOOKUP('Data Entry Form'!$CG50,tblData[],COLUMN(INDIRECT("tblData[[Day 4]]")),0)=0,"",VLOOKUP('Data Entry Form'!$CG50,tblData[],COLUMN(INDIRECT("tblData[[Day 4]]")),0)),"")</f>
        <v/>
      </c>
      <c r="J43" s="267" t="str">
        <f ca="1">IFERROR(IF(VLOOKUP('Data Entry Form'!$CG50,tblData[],COLUMN(INDIRECT("tblData[[Day 5]]")),0)=0,"",VLOOKUP('Data Entry Form'!$CG50,tblData[],COLUMN(INDIRECT("tblData[[Day 5]]")),0)),"")</f>
        <v/>
      </c>
      <c r="K43" s="267" t="str">
        <f ca="1">IFERROR(IF(VLOOKUP('Data Entry Form'!$CG50,tblData[],COLUMN(INDIRECT("tblData[[Day 6]]")),0)=0,"",VLOOKUP('Data Entry Form'!$CG50,tblData[],COLUMN(INDIRECT("tblData[[Day 6]]")),0)),"")</f>
        <v/>
      </c>
      <c r="L43" s="267" t="str">
        <f ca="1">IFERROR(IF(VLOOKUP('Data Entry Form'!$CG50,tblData[],COLUMN(INDIRECT("tblData[[Day 7]]")),0)=0,"",VLOOKUP('Data Entry Form'!$CG50,tblData[],COLUMN(INDIRECT("tblData[[Day 7]]")),0)),"")</f>
        <v/>
      </c>
      <c r="M43" s="267" t="str">
        <f ca="1">IFERROR(IF(VLOOKUP('Data Entry Form'!$CG50,tblData[],COLUMN(INDIRECT("tblData[[Day 8]]")),0)=0,"",VLOOKUP('Data Entry Form'!$CG50,tblData[],COLUMN(INDIRECT("tblData[[Day 8]]")),0)),"")</f>
        <v/>
      </c>
      <c r="N43" s="267" t="str">
        <f ca="1">IFERROR(IF(VLOOKUP('Data Entry Form'!$CG50,tblData[],COLUMN(INDIRECT("tblData[[Day 9]]")),0)=0,"",VLOOKUP('Data Entry Form'!$CG50,tblData[],COLUMN(INDIRECT("tblData[[Day 9]]")),0)),"")</f>
        <v/>
      </c>
    </row>
    <row r="44" spans="1:14" s="125" customFormat="1" ht="32.1" customHeight="1">
      <c r="A44" s="261" t="str">
        <f ca="1">IFERROR(VLOOKUP('Data Entry Form'!$CG51,tblData[],COLUMN(INDIRECT("tblData[[No]]")),0),"")</f>
        <v/>
      </c>
      <c r="B44" s="262" t="str">
        <f ca="1">IFERROR(VLOOKUP('Data Entry Form'!$CG51,tblData[],COLUMN(INDIRECT("tblData[[Surname]]")),0),"")</f>
        <v/>
      </c>
      <c r="C44" s="262" t="str">
        <f ca="1">IFERROR(VLOOKUP('Data Entry Form'!$CG51,tblData[],COLUMN(INDIRECT("tblData[[Given Name]]")),0),"")</f>
        <v/>
      </c>
      <c r="D44" s="262" t="str">
        <f ca="1">IFERROR(VLOOKUP('Data Entry Form'!$CG51,tblData[],COLUMN(INDIRECT("tblData[[Position]]")),0),"")</f>
        <v/>
      </c>
      <c r="E44" s="262" t="str">
        <f ca="1">IFERROR(VLOOKUP('Data Entry Form'!$CG51,tblData[],COLUMN(INDIRECT("tblData[[Gender]]")),0),"")</f>
        <v/>
      </c>
      <c r="F44" s="267" t="str">
        <f ca="1">IFERROR(IF(VLOOKUP('Data Entry Form'!$CG51,tblData[],COLUMN(INDIRECT("tblData[[Day 1]]")),0)=0,"",VLOOKUP('Data Entry Form'!$CG51,tblData[],COLUMN(INDIRECT("tblData[[Day 1]]")),0)),"")</f>
        <v/>
      </c>
      <c r="G44" s="267" t="str">
        <f ca="1">IFERROR(IF(VLOOKUP('Data Entry Form'!$CG51,tblData[],COLUMN(INDIRECT("tblData[[Day 2]]")),0)=0,"",VLOOKUP('Data Entry Form'!$CG51,tblData[],COLUMN(INDIRECT("tblData[[Day 2]]")),0)),"")</f>
        <v/>
      </c>
      <c r="H44" s="267" t="str">
        <f ca="1">IFERROR(IF(VLOOKUP('Data Entry Form'!$CG51,tblData[],COLUMN(INDIRECT("tblData[[Day 3]]")),0)=0,"",VLOOKUP('Data Entry Form'!$CG51,tblData[],COLUMN(INDIRECT("tblData[[Day 3]]")),0)),"")</f>
        <v/>
      </c>
      <c r="I44" s="267" t="str">
        <f ca="1">IFERROR(IF(VLOOKUP('Data Entry Form'!$CG51,tblData[],COLUMN(INDIRECT("tblData[[Day 4]]")),0)=0,"",VLOOKUP('Data Entry Form'!$CG51,tblData[],COLUMN(INDIRECT("tblData[[Day 4]]")),0)),"")</f>
        <v/>
      </c>
      <c r="J44" s="267" t="str">
        <f ca="1">IFERROR(IF(VLOOKUP('Data Entry Form'!$CG51,tblData[],COLUMN(INDIRECT("tblData[[Day 5]]")),0)=0,"",VLOOKUP('Data Entry Form'!$CG51,tblData[],COLUMN(INDIRECT("tblData[[Day 5]]")),0)),"")</f>
        <v/>
      </c>
      <c r="K44" s="267" t="str">
        <f ca="1">IFERROR(IF(VLOOKUP('Data Entry Form'!$CG51,tblData[],COLUMN(INDIRECT("tblData[[Day 6]]")),0)=0,"",VLOOKUP('Data Entry Form'!$CG51,tblData[],COLUMN(INDIRECT("tblData[[Day 6]]")),0)),"")</f>
        <v/>
      </c>
      <c r="L44" s="267" t="str">
        <f ca="1">IFERROR(IF(VLOOKUP('Data Entry Form'!$CG51,tblData[],COLUMN(INDIRECT("tblData[[Day 7]]")),0)=0,"",VLOOKUP('Data Entry Form'!$CG51,tblData[],COLUMN(INDIRECT("tblData[[Day 7]]")),0)),"")</f>
        <v/>
      </c>
      <c r="M44" s="267" t="str">
        <f ca="1">IFERROR(IF(VLOOKUP('Data Entry Form'!$CG51,tblData[],COLUMN(INDIRECT("tblData[[Day 8]]")),0)=0,"",VLOOKUP('Data Entry Form'!$CG51,tblData[],COLUMN(INDIRECT("tblData[[Day 8]]")),0)),"")</f>
        <v/>
      </c>
      <c r="N44" s="267" t="str">
        <f ca="1">IFERROR(IF(VLOOKUP('Data Entry Form'!$CG51,tblData[],COLUMN(INDIRECT("tblData[[Day 9]]")),0)=0,"",VLOOKUP('Data Entry Form'!$CG51,tblData[],COLUMN(INDIRECT("tblData[[Day 9]]")),0)),"")</f>
        <v/>
      </c>
    </row>
    <row r="45" spans="1:14" s="125" customFormat="1" ht="32.1" customHeight="1">
      <c r="A45" s="261" t="str">
        <f ca="1">IFERROR(VLOOKUP('Data Entry Form'!$CG52,tblData[],COLUMN(INDIRECT("tblData[[No]]")),0),"")</f>
        <v/>
      </c>
      <c r="B45" s="262" t="str">
        <f ca="1">IFERROR(VLOOKUP('Data Entry Form'!$CG52,tblData[],COLUMN(INDIRECT("tblData[[Surname]]")),0),"")</f>
        <v/>
      </c>
      <c r="C45" s="262" t="str">
        <f ca="1">IFERROR(VLOOKUP('Data Entry Form'!$CG52,tblData[],COLUMN(INDIRECT("tblData[[Given Name]]")),0),"")</f>
        <v/>
      </c>
      <c r="D45" s="262" t="str">
        <f ca="1">IFERROR(VLOOKUP('Data Entry Form'!$CG52,tblData[],COLUMN(INDIRECT("tblData[[Position]]")),0),"")</f>
        <v/>
      </c>
      <c r="E45" s="262" t="str">
        <f ca="1">IFERROR(VLOOKUP('Data Entry Form'!$CG52,tblData[],COLUMN(INDIRECT("tblData[[Gender]]")),0),"")</f>
        <v/>
      </c>
      <c r="F45" s="267" t="str">
        <f ca="1">IFERROR(IF(VLOOKUP('Data Entry Form'!$CG52,tblData[],COLUMN(INDIRECT("tblData[[Day 1]]")),0)=0,"",VLOOKUP('Data Entry Form'!$CG52,tblData[],COLUMN(INDIRECT("tblData[[Day 1]]")),0)),"")</f>
        <v/>
      </c>
      <c r="G45" s="267" t="str">
        <f ca="1">IFERROR(IF(VLOOKUP('Data Entry Form'!$CG52,tblData[],COLUMN(INDIRECT("tblData[[Day 2]]")),0)=0,"",VLOOKUP('Data Entry Form'!$CG52,tblData[],COLUMN(INDIRECT("tblData[[Day 2]]")),0)),"")</f>
        <v/>
      </c>
      <c r="H45" s="267" t="str">
        <f ca="1">IFERROR(IF(VLOOKUP('Data Entry Form'!$CG52,tblData[],COLUMN(INDIRECT("tblData[[Day 3]]")),0)=0,"",VLOOKUP('Data Entry Form'!$CG52,tblData[],COLUMN(INDIRECT("tblData[[Day 3]]")),0)),"")</f>
        <v/>
      </c>
      <c r="I45" s="267" t="str">
        <f ca="1">IFERROR(IF(VLOOKUP('Data Entry Form'!$CG52,tblData[],COLUMN(INDIRECT("tblData[[Day 4]]")),0)=0,"",VLOOKUP('Data Entry Form'!$CG52,tblData[],COLUMN(INDIRECT("tblData[[Day 4]]")),0)),"")</f>
        <v/>
      </c>
      <c r="J45" s="267" t="str">
        <f ca="1">IFERROR(IF(VLOOKUP('Data Entry Form'!$CG52,tblData[],COLUMN(INDIRECT("tblData[[Day 5]]")),0)=0,"",VLOOKUP('Data Entry Form'!$CG52,tblData[],COLUMN(INDIRECT("tblData[[Day 5]]")),0)),"")</f>
        <v/>
      </c>
      <c r="K45" s="267" t="str">
        <f ca="1">IFERROR(IF(VLOOKUP('Data Entry Form'!$CG52,tblData[],COLUMN(INDIRECT("tblData[[Day 6]]")),0)=0,"",VLOOKUP('Data Entry Form'!$CG52,tblData[],COLUMN(INDIRECT("tblData[[Day 6]]")),0)),"")</f>
        <v/>
      </c>
      <c r="L45" s="267" t="str">
        <f ca="1">IFERROR(IF(VLOOKUP('Data Entry Form'!$CG52,tblData[],COLUMN(INDIRECT("tblData[[Day 7]]")),0)=0,"",VLOOKUP('Data Entry Form'!$CG52,tblData[],COLUMN(INDIRECT("tblData[[Day 7]]")),0)),"")</f>
        <v/>
      </c>
      <c r="M45" s="267" t="str">
        <f ca="1">IFERROR(IF(VLOOKUP('Data Entry Form'!$CG52,tblData[],COLUMN(INDIRECT("tblData[[Day 8]]")),0)=0,"",VLOOKUP('Data Entry Form'!$CG52,tblData[],COLUMN(INDIRECT("tblData[[Day 8]]")),0)),"")</f>
        <v/>
      </c>
      <c r="N45" s="267" t="str">
        <f ca="1">IFERROR(IF(VLOOKUP('Data Entry Form'!$CG52,tblData[],COLUMN(INDIRECT("tblData[[Day 9]]")),0)=0,"",VLOOKUP('Data Entry Form'!$CG52,tblData[],COLUMN(INDIRECT("tblData[[Day 9]]")),0)),"")</f>
        <v/>
      </c>
    </row>
    <row r="46" spans="1:14" s="125" customFormat="1" ht="32.1" customHeight="1">
      <c r="A46" s="261" t="str">
        <f ca="1">IFERROR(VLOOKUP('Data Entry Form'!$CG53,tblData[],COLUMN(INDIRECT("tblData[[No]]")),0),"")</f>
        <v/>
      </c>
      <c r="B46" s="262" t="str">
        <f ca="1">IFERROR(VLOOKUP('Data Entry Form'!$CG53,tblData[],COLUMN(INDIRECT("tblData[[Surname]]")),0),"")</f>
        <v/>
      </c>
      <c r="C46" s="262" t="str">
        <f ca="1">IFERROR(VLOOKUP('Data Entry Form'!$CG53,tblData[],COLUMN(INDIRECT("tblData[[Given Name]]")),0),"")</f>
        <v/>
      </c>
      <c r="D46" s="262" t="str">
        <f ca="1">IFERROR(VLOOKUP('Data Entry Form'!$CG53,tblData[],COLUMN(INDIRECT("tblData[[Position]]")),0),"")</f>
        <v/>
      </c>
      <c r="E46" s="262" t="str">
        <f ca="1">IFERROR(VLOOKUP('Data Entry Form'!$CG53,tblData[],COLUMN(INDIRECT("tblData[[Gender]]")),0),"")</f>
        <v/>
      </c>
      <c r="F46" s="267" t="str">
        <f ca="1">IFERROR(IF(VLOOKUP('Data Entry Form'!$CG53,tblData[],COLUMN(INDIRECT("tblData[[Day 1]]")),0)=0,"",VLOOKUP('Data Entry Form'!$CG53,tblData[],COLUMN(INDIRECT("tblData[[Day 1]]")),0)),"")</f>
        <v/>
      </c>
      <c r="G46" s="267" t="str">
        <f ca="1">IFERROR(IF(VLOOKUP('Data Entry Form'!$CG53,tblData[],COLUMN(INDIRECT("tblData[[Day 2]]")),0)=0,"",VLOOKUP('Data Entry Form'!$CG53,tblData[],COLUMN(INDIRECT("tblData[[Day 2]]")),0)),"")</f>
        <v/>
      </c>
      <c r="H46" s="267" t="str">
        <f ca="1">IFERROR(IF(VLOOKUP('Data Entry Form'!$CG53,tblData[],COLUMN(INDIRECT("tblData[[Day 3]]")),0)=0,"",VLOOKUP('Data Entry Form'!$CG53,tblData[],COLUMN(INDIRECT("tblData[[Day 3]]")),0)),"")</f>
        <v/>
      </c>
      <c r="I46" s="267" t="str">
        <f ca="1">IFERROR(IF(VLOOKUP('Data Entry Form'!$CG53,tblData[],COLUMN(INDIRECT("tblData[[Day 4]]")),0)=0,"",VLOOKUP('Data Entry Form'!$CG53,tblData[],COLUMN(INDIRECT("tblData[[Day 4]]")),0)),"")</f>
        <v/>
      </c>
      <c r="J46" s="267" t="str">
        <f ca="1">IFERROR(IF(VLOOKUP('Data Entry Form'!$CG53,tblData[],COLUMN(INDIRECT("tblData[[Day 5]]")),0)=0,"",VLOOKUP('Data Entry Form'!$CG53,tblData[],COLUMN(INDIRECT("tblData[[Day 5]]")),0)),"")</f>
        <v/>
      </c>
      <c r="K46" s="267" t="str">
        <f ca="1">IFERROR(IF(VLOOKUP('Data Entry Form'!$CG53,tblData[],COLUMN(INDIRECT("tblData[[Day 6]]")),0)=0,"",VLOOKUP('Data Entry Form'!$CG53,tblData[],COLUMN(INDIRECT("tblData[[Day 6]]")),0)),"")</f>
        <v/>
      </c>
      <c r="L46" s="267" t="str">
        <f ca="1">IFERROR(IF(VLOOKUP('Data Entry Form'!$CG53,tblData[],COLUMN(INDIRECT("tblData[[Day 7]]")),0)=0,"",VLOOKUP('Data Entry Form'!$CG53,tblData[],COLUMN(INDIRECT("tblData[[Day 7]]")),0)),"")</f>
        <v/>
      </c>
      <c r="M46" s="267" t="str">
        <f ca="1">IFERROR(IF(VLOOKUP('Data Entry Form'!$CG53,tblData[],COLUMN(INDIRECT("tblData[[Day 8]]")),0)=0,"",VLOOKUP('Data Entry Form'!$CG53,tblData[],COLUMN(INDIRECT("tblData[[Day 8]]")),0)),"")</f>
        <v/>
      </c>
      <c r="N46" s="267" t="str">
        <f ca="1">IFERROR(IF(VLOOKUP('Data Entry Form'!$CG53,tblData[],COLUMN(INDIRECT("tblData[[Day 9]]")),0)=0,"",VLOOKUP('Data Entry Form'!$CG53,tblData[],COLUMN(INDIRECT("tblData[[Day 9]]")),0)),"")</f>
        <v/>
      </c>
    </row>
    <row r="47" spans="1:14" s="125" customFormat="1" ht="32.1" customHeight="1">
      <c r="A47" s="261" t="str">
        <f ca="1">IFERROR(VLOOKUP('Data Entry Form'!$CG54,tblData[],COLUMN(INDIRECT("tblData[[No]]")),0),"")</f>
        <v/>
      </c>
      <c r="B47" s="262" t="str">
        <f ca="1">IFERROR(VLOOKUP('Data Entry Form'!$CG54,tblData[],COLUMN(INDIRECT("tblData[[Surname]]")),0),"")</f>
        <v/>
      </c>
      <c r="C47" s="262" t="str">
        <f ca="1">IFERROR(VLOOKUP('Data Entry Form'!$CG54,tblData[],COLUMN(INDIRECT("tblData[[Given Name]]")),0),"")</f>
        <v/>
      </c>
      <c r="D47" s="262" t="str">
        <f ca="1">IFERROR(VLOOKUP('Data Entry Form'!$CG54,tblData[],COLUMN(INDIRECT("tblData[[Position]]")),0),"")</f>
        <v/>
      </c>
      <c r="E47" s="262" t="str">
        <f ca="1">IFERROR(VLOOKUP('Data Entry Form'!$CG54,tblData[],COLUMN(INDIRECT("tblData[[Gender]]")),0),"")</f>
        <v/>
      </c>
      <c r="F47" s="267" t="str">
        <f ca="1">IFERROR(IF(VLOOKUP('Data Entry Form'!$CG54,tblData[],COLUMN(INDIRECT("tblData[[Day 1]]")),0)=0,"",VLOOKUP('Data Entry Form'!$CG54,tblData[],COLUMN(INDIRECT("tblData[[Day 1]]")),0)),"")</f>
        <v/>
      </c>
      <c r="G47" s="267" t="str">
        <f ca="1">IFERROR(IF(VLOOKUP('Data Entry Form'!$CG54,tblData[],COLUMN(INDIRECT("tblData[[Day 2]]")),0)=0,"",VLOOKUP('Data Entry Form'!$CG54,tblData[],COLUMN(INDIRECT("tblData[[Day 2]]")),0)),"")</f>
        <v/>
      </c>
      <c r="H47" s="267" t="str">
        <f ca="1">IFERROR(IF(VLOOKUP('Data Entry Form'!$CG54,tblData[],COLUMN(INDIRECT("tblData[[Day 3]]")),0)=0,"",VLOOKUP('Data Entry Form'!$CG54,tblData[],COLUMN(INDIRECT("tblData[[Day 3]]")),0)),"")</f>
        <v/>
      </c>
      <c r="I47" s="267" t="str">
        <f ca="1">IFERROR(IF(VLOOKUP('Data Entry Form'!$CG54,tblData[],COLUMN(INDIRECT("tblData[[Day 4]]")),0)=0,"",VLOOKUP('Data Entry Form'!$CG54,tblData[],COLUMN(INDIRECT("tblData[[Day 4]]")),0)),"")</f>
        <v/>
      </c>
      <c r="J47" s="267" t="str">
        <f ca="1">IFERROR(IF(VLOOKUP('Data Entry Form'!$CG54,tblData[],COLUMN(INDIRECT("tblData[[Day 5]]")),0)=0,"",VLOOKUP('Data Entry Form'!$CG54,tblData[],COLUMN(INDIRECT("tblData[[Day 5]]")),0)),"")</f>
        <v/>
      </c>
      <c r="K47" s="267" t="str">
        <f ca="1">IFERROR(IF(VLOOKUP('Data Entry Form'!$CG54,tblData[],COLUMN(INDIRECT("tblData[[Day 6]]")),0)=0,"",VLOOKUP('Data Entry Form'!$CG54,tblData[],COLUMN(INDIRECT("tblData[[Day 6]]")),0)),"")</f>
        <v/>
      </c>
      <c r="L47" s="267" t="str">
        <f ca="1">IFERROR(IF(VLOOKUP('Data Entry Form'!$CG54,tblData[],COLUMN(INDIRECT("tblData[[Day 7]]")),0)=0,"",VLOOKUP('Data Entry Form'!$CG54,tblData[],COLUMN(INDIRECT("tblData[[Day 7]]")),0)),"")</f>
        <v/>
      </c>
      <c r="M47" s="267" t="str">
        <f ca="1">IFERROR(IF(VLOOKUP('Data Entry Form'!$CG54,tblData[],COLUMN(INDIRECT("tblData[[Day 8]]")),0)=0,"",VLOOKUP('Data Entry Form'!$CG54,tblData[],COLUMN(INDIRECT("tblData[[Day 8]]")),0)),"")</f>
        <v/>
      </c>
      <c r="N47" s="267" t="str">
        <f ca="1">IFERROR(IF(VLOOKUP('Data Entry Form'!$CG54,tblData[],COLUMN(INDIRECT("tblData[[Day 9]]")),0)=0,"",VLOOKUP('Data Entry Form'!$CG54,tblData[],COLUMN(INDIRECT("tblData[[Day 9]]")),0)),"")</f>
        <v/>
      </c>
    </row>
    <row r="48" spans="1:14" s="125" customFormat="1" ht="32.1" customHeight="1">
      <c r="A48" s="261" t="str">
        <f ca="1">IFERROR(VLOOKUP('Data Entry Form'!$CG55,tblData[],COLUMN(INDIRECT("tblData[[No]]")),0),"")</f>
        <v/>
      </c>
      <c r="B48" s="262" t="str">
        <f ca="1">IFERROR(VLOOKUP('Data Entry Form'!$CG55,tblData[],COLUMN(INDIRECT("tblData[[Surname]]")),0),"")</f>
        <v/>
      </c>
      <c r="C48" s="262" t="str">
        <f ca="1">IFERROR(VLOOKUP('Data Entry Form'!$CG55,tblData[],COLUMN(INDIRECT("tblData[[Given Name]]")),0),"")</f>
        <v/>
      </c>
      <c r="D48" s="262" t="str">
        <f ca="1">IFERROR(VLOOKUP('Data Entry Form'!$CG55,tblData[],COLUMN(INDIRECT("tblData[[Position]]")),0),"")</f>
        <v/>
      </c>
      <c r="E48" s="262" t="str">
        <f ca="1">IFERROR(VLOOKUP('Data Entry Form'!$CG55,tblData[],COLUMN(INDIRECT("tblData[[Gender]]")),0),"")</f>
        <v/>
      </c>
      <c r="F48" s="267" t="str">
        <f ca="1">IFERROR(IF(VLOOKUP('Data Entry Form'!$CG55,tblData[],COLUMN(INDIRECT("tblData[[Day 1]]")),0)=0,"",VLOOKUP('Data Entry Form'!$CG55,tblData[],COLUMN(INDIRECT("tblData[[Day 1]]")),0)),"")</f>
        <v/>
      </c>
      <c r="G48" s="267" t="str">
        <f ca="1">IFERROR(IF(VLOOKUP('Data Entry Form'!$CG55,tblData[],COLUMN(INDIRECT("tblData[[Day 2]]")),0)=0,"",VLOOKUP('Data Entry Form'!$CG55,tblData[],COLUMN(INDIRECT("tblData[[Day 2]]")),0)),"")</f>
        <v/>
      </c>
      <c r="H48" s="267" t="str">
        <f ca="1">IFERROR(IF(VLOOKUP('Data Entry Form'!$CG55,tblData[],COLUMN(INDIRECT("tblData[[Day 3]]")),0)=0,"",VLOOKUP('Data Entry Form'!$CG55,tblData[],COLUMN(INDIRECT("tblData[[Day 3]]")),0)),"")</f>
        <v/>
      </c>
      <c r="I48" s="267" t="str">
        <f ca="1">IFERROR(IF(VLOOKUP('Data Entry Form'!$CG55,tblData[],COLUMN(INDIRECT("tblData[[Day 4]]")),0)=0,"",VLOOKUP('Data Entry Form'!$CG55,tblData[],COLUMN(INDIRECT("tblData[[Day 4]]")),0)),"")</f>
        <v/>
      </c>
      <c r="J48" s="267" t="str">
        <f ca="1">IFERROR(IF(VLOOKUP('Data Entry Form'!$CG55,tblData[],COLUMN(INDIRECT("tblData[[Day 5]]")),0)=0,"",VLOOKUP('Data Entry Form'!$CG55,tblData[],COLUMN(INDIRECT("tblData[[Day 5]]")),0)),"")</f>
        <v/>
      </c>
      <c r="K48" s="267" t="str">
        <f ca="1">IFERROR(IF(VLOOKUP('Data Entry Form'!$CG55,tblData[],COLUMN(INDIRECT("tblData[[Day 6]]")),0)=0,"",VLOOKUP('Data Entry Form'!$CG55,tblData[],COLUMN(INDIRECT("tblData[[Day 6]]")),0)),"")</f>
        <v/>
      </c>
      <c r="L48" s="267" t="str">
        <f ca="1">IFERROR(IF(VLOOKUP('Data Entry Form'!$CG55,tblData[],COLUMN(INDIRECT("tblData[[Day 7]]")),0)=0,"",VLOOKUP('Data Entry Form'!$CG55,tblData[],COLUMN(INDIRECT("tblData[[Day 7]]")),0)),"")</f>
        <v/>
      </c>
      <c r="M48" s="267" t="str">
        <f ca="1">IFERROR(IF(VLOOKUP('Data Entry Form'!$CG55,tblData[],COLUMN(INDIRECT("tblData[[Day 8]]")),0)=0,"",VLOOKUP('Data Entry Form'!$CG55,tblData[],COLUMN(INDIRECT("tblData[[Day 8]]")),0)),"")</f>
        <v/>
      </c>
      <c r="N48" s="267" t="str">
        <f ca="1">IFERROR(IF(VLOOKUP('Data Entry Form'!$CG55,tblData[],COLUMN(INDIRECT("tblData[[Day 9]]")),0)=0,"",VLOOKUP('Data Entry Form'!$CG55,tblData[],COLUMN(INDIRECT("tblData[[Day 9]]")),0)),"")</f>
        <v/>
      </c>
    </row>
    <row r="49" spans="1:14" s="125" customFormat="1" ht="32.1" customHeight="1">
      <c r="A49" s="261" t="str">
        <f ca="1">IFERROR(VLOOKUP('Data Entry Form'!$CG56,tblData[],COLUMN(INDIRECT("tblData[[No]]")),0),"")</f>
        <v/>
      </c>
      <c r="B49" s="262" t="str">
        <f ca="1">IFERROR(VLOOKUP('Data Entry Form'!$CG56,tblData[],COLUMN(INDIRECT("tblData[[Surname]]")),0),"")</f>
        <v/>
      </c>
      <c r="C49" s="262" t="str">
        <f ca="1">IFERROR(VLOOKUP('Data Entry Form'!$CG56,tblData[],COLUMN(INDIRECT("tblData[[Given Name]]")),0),"")</f>
        <v/>
      </c>
      <c r="D49" s="262" t="str">
        <f ca="1">IFERROR(VLOOKUP('Data Entry Form'!$CG56,tblData[],COLUMN(INDIRECT("tblData[[Position]]")),0),"")</f>
        <v/>
      </c>
      <c r="E49" s="262" t="str">
        <f ca="1">IFERROR(VLOOKUP('Data Entry Form'!$CG56,tblData[],COLUMN(INDIRECT("tblData[[Gender]]")),0),"")</f>
        <v/>
      </c>
      <c r="F49" s="267" t="str">
        <f ca="1">IFERROR(IF(VLOOKUP('Data Entry Form'!$CG56,tblData[],COLUMN(INDIRECT("tblData[[Day 1]]")),0)=0,"",VLOOKUP('Data Entry Form'!$CG56,tblData[],COLUMN(INDIRECT("tblData[[Day 1]]")),0)),"")</f>
        <v/>
      </c>
      <c r="G49" s="267" t="str">
        <f ca="1">IFERROR(IF(VLOOKUP('Data Entry Form'!$CG56,tblData[],COLUMN(INDIRECT("tblData[[Day 2]]")),0)=0,"",VLOOKUP('Data Entry Form'!$CG56,tblData[],COLUMN(INDIRECT("tblData[[Day 2]]")),0)),"")</f>
        <v/>
      </c>
      <c r="H49" s="267" t="str">
        <f ca="1">IFERROR(IF(VLOOKUP('Data Entry Form'!$CG56,tblData[],COLUMN(INDIRECT("tblData[[Day 3]]")),0)=0,"",VLOOKUP('Data Entry Form'!$CG56,tblData[],COLUMN(INDIRECT("tblData[[Day 3]]")),0)),"")</f>
        <v/>
      </c>
      <c r="I49" s="267" t="str">
        <f ca="1">IFERROR(IF(VLOOKUP('Data Entry Form'!$CG56,tblData[],COLUMN(INDIRECT("tblData[[Day 4]]")),0)=0,"",VLOOKUP('Data Entry Form'!$CG56,tblData[],COLUMN(INDIRECT("tblData[[Day 4]]")),0)),"")</f>
        <v/>
      </c>
      <c r="J49" s="267" t="str">
        <f ca="1">IFERROR(IF(VLOOKUP('Data Entry Form'!$CG56,tblData[],COLUMN(INDIRECT("tblData[[Day 5]]")),0)=0,"",VLOOKUP('Data Entry Form'!$CG56,tblData[],COLUMN(INDIRECT("tblData[[Day 5]]")),0)),"")</f>
        <v/>
      </c>
      <c r="K49" s="267" t="str">
        <f ca="1">IFERROR(IF(VLOOKUP('Data Entry Form'!$CG56,tblData[],COLUMN(INDIRECT("tblData[[Day 6]]")),0)=0,"",VLOOKUP('Data Entry Form'!$CG56,tblData[],COLUMN(INDIRECT("tblData[[Day 6]]")),0)),"")</f>
        <v/>
      </c>
      <c r="L49" s="267" t="str">
        <f ca="1">IFERROR(IF(VLOOKUP('Data Entry Form'!$CG56,tblData[],COLUMN(INDIRECT("tblData[[Day 7]]")),0)=0,"",VLOOKUP('Data Entry Form'!$CG56,tblData[],COLUMN(INDIRECT("tblData[[Day 7]]")),0)),"")</f>
        <v/>
      </c>
      <c r="M49" s="267" t="str">
        <f ca="1">IFERROR(IF(VLOOKUP('Data Entry Form'!$CG56,tblData[],COLUMN(INDIRECT("tblData[[Day 8]]")),0)=0,"",VLOOKUP('Data Entry Form'!$CG56,tblData[],COLUMN(INDIRECT("tblData[[Day 8]]")),0)),"")</f>
        <v/>
      </c>
      <c r="N49" s="267" t="str">
        <f ca="1">IFERROR(IF(VLOOKUP('Data Entry Form'!$CG56,tblData[],COLUMN(INDIRECT("tblData[[Day 9]]")),0)=0,"",VLOOKUP('Data Entry Form'!$CG56,tblData[],COLUMN(INDIRECT("tblData[[Day 9]]")),0)),"")</f>
        <v/>
      </c>
    </row>
    <row r="50" spans="1:14" s="125" customFormat="1" ht="32.1" customHeight="1">
      <c r="A50" s="261" t="str">
        <f ca="1">IFERROR(VLOOKUP('Data Entry Form'!$CG57,tblData[],COLUMN(INDIRECT("tblData[[No]]")),0),"")</f>
        <v/>
      </c>
      <c r="B50" s="262" t="str">
        <f ca="1">IFERROR(VLOOKUP('Data Entry Form'!$CG57,tblData[],COLUMN(INDIRECT("tblData[[Surname]]")),0),"")</f>
        <v/>
      </c>
      <c r="C50" s="262" t="str">
        <f ca="1">IFERROR(VLOOKUP('Data Entry Form'!$CG57,tblData[],COLUMN(INDIRECT("tblData[[Given Name]]")),0),"")</f>
        <v/>
      </c>
      <c r="D50" s="262" t="str">
        <f ca="1">IFERROR(VLOOKUP('Data Entry Form'!$CG57,tblData[],COLUMN(INDIRECT("tblData[[Position]]")),0),"")</f>
        <v/>
      </c>
      <c r="E50" s="262" t="str">
        <f ca="1">IFERROR(VLOOKUP('Data Entry Form'!$CG57,tblData[],COLUMN(INDIRECT("tblData[[Gender]]")),0),"")</f>
        <v/>
      </c>
      <c r="F50" s="267" t="str">
        <f ca="1">IFERROR(IF(VLOOKUP('Data Entry Form'!$CG57,tblData[],COLUMN(INDIRECT("tblData[[Day 1]]")),0)=0,"",VLOOKUP('Data Entry Form'!$CG57,tblData[],COLUMN(INDIRECT("tblData[[Day 1]]")),0)),"")</f>
        <v/>
      </c>
      <c r="G50" s="267" t="str">
        <f ca="1">IFERROR(IF(VLOOKUP('Data Entry Form'!$CG57,tblData[],COLUMN(INDIRECT("tblData[[Day 2]]")),0)=0,"",VLOOKUP('Data Entry Form'!$CG57,tblData[],COLUMN(INDIRECT("tblData[[Day 2]]")),0)),"")</f>
        <v/>
      </c>
      <c r="H50" s="267" t="str">
        <f ca="1">IFERROR(IF(VLOOKUP('Data Entry Form'!$CG57,tblData[],COLUMN(INDIRECT("tblData[[Day 3]]")),0)=0,"",VLOOKUP('Data Entry Form'!$CG57,tblData[],COLUMN(INDIRECT("tblData[[Day 3]]")),0)),"")</f>
        <v/>
      </c>
      <c r="I50" s="267" t="str">
        <f ca="1">IFERROR(IF(VLOOKUP('Data Entry Form'!$CG57,tblData[],COLUMN(INDIRECT("tblData[[Day 4]]")),0)=0,"",VLOOKUP('Data Entry Form'!$CG57,tblData[],COLUMN(INDIRECT("tblData[[Day 4]]")),0)),"")</f>
        <v/>
      </c>
      <c r="J50" s="267" t="str">
        <f ca="1">IFERROR(IF(VLOOKUP('Data Entry Form'!$CG57,tblData[],COLUMN(INDIRECT("tblData[[Day 5]]")),0)=0,"",VLOOKUP('Data Entry Form'!$CG57,tblData[],COLUMN(INDIRECT("tblData[[Day 5]]")),0)),"")</f>
        <v/>
      </c>
      <c r="K50" s="267" t="str">
        <f ca="1">IFERROR(IF(VLOOKUP('Data Entry Form'!$CG57,tblData[],COLUMN(INDIRECT("tblData[[Day 6]]")),0)=0,"",VLOOKUP('Data Entry Form'!$CG57,tblData[],COLUMN(INDIRECT("tblData[[Day 6]]")),0)),"")</f>
        <v/>
      </c>
      <c r="L50" s="267" t="str">
        <f ca="1">IFERROR(IF(VLOOKUP('Data Entry Form'!$CG57,tblData[],COLUMN(INDIRECT("tblData[[Day 7]]")),0)=0,"",VLOOKUP('Data Entry Form'!$CG57,tblData[],COLUMN(INDIRECT("tblData[[Day 7]]")),0)),"")</f>
        <v/>
      </c>
      <c r="M50" s="267" t="str">
        <f ca="1">IFERROR(IF(VLOOKUP('Data Entry Form'!$CG57,tblData[],COLUMN(INDIRECT("tblData[[Day 8]]")),0)=0,"",VLOOKUP('Data Entry Form'!$CG57,tblData[],COLUMN(INDIRECT("tblData[[Day 8]]")),0)),"")</f>
        <v/>
      </c>
      <c r="N50" s="267" t="str">
        <f ca="1">IFERROR(IF(VLOOKUP('Data Entry Form'!$CG57,tblData[],COLUMN(INDIRECT("tblData[[Day 9]]")),0)=0,"",VLOOKUP('Data Entry Form'!$CG57,tblData[],COLUMN(INDIRECT("tblData[[Day 9]]")),0)),"")</f>
        <v/>
      </c>
    </row>
    <row r="51" spans="1:14" s="125" customFormat="1" ht="32.1" customHeight="1">
      <c r="A51" s="261" t="str">
        <f ca="1">IFERROR(VLOOKUP('Data Entry Form'!$CG58,tblData[],COLUMN(INDIRECT("tblData[[No]]")),0),"")</f>
        <v/>
      </c>
      <c r="B51" s="262" t="str">
        <f ca="1">IFERROR(VLOOKUP('Data Entry Form'!$CG58,tblData[],COLUMN(INDIRECT("tblData[[Surname]]")),0),"")</f>
        <v/>
      </c>
      <c r="C51" s="262" t="str">
        <f ca="1">IFERROR(VLOOKUP('Data Entry Form'!$CG58,tblData[],COLUMN(INDIRECT("tblData[[Given Name]]")),0),"")</f>
        <v/>
      </c>
      <c r="D51" s="262" t="str">
        <f ca="1">IFERROR(VLOOKUP('Data Entry Form'!$CG58,tblData[],COLUMN(INDIRECT("tblData[[Position]]")),0),"")</f>
        <v/>
      </c>
      <c r="E51" s="262" t="str">
        <f ca="1">IFERROR(VLOOKUP('Data Entry Form'!$CG58,tblData[],COLUMN(INDIRECT("tblData[[Gender]]")),0),"")</f>
        <v/>
      </c>
      <c r="F51" s="267" t="str">
        <f ca="1">IFERROR(IF(VLOOKUP('Data Entry Form'!$CG58,tblData[],COLUMN(INDIRECT("tblData[[Day 1]]")),0)=0,"",VLOOKUP('Data Entry Form'!$CG58,tblData[],COLUMN(INDIRECT("tblData[[Day 1]]")),0)),"")</f>
        <v/>
      </c>
      <c r="G51" s="267" t="str">
        <f ca="1">IFERROR(IF(VLOOKUP('Data Entry Form'!$CG58,tblData[],COLUMN(INDIRECT("tblData[[Day 2]]")),0)=0,"",VLOOKUP('Data Entry Form'!$CG58,tblData[],COLUMN(INDIRECT("tblData[[Day 2]]")),0)),"")</f>
        <v/>
      </c>
      <c r="H51" s="267" t="str">
        <f ca="1">IFERROR(IF(VLOOKUP('Data Entry Form'!$CG58,tblData[],COLUMN(INDIRECT("tblData[[Day 3]]")),0)=0,"",VLOOKUP('Data Entry Form'!$CG58,tblData[],COLUMN(INDIRECT("tblData[[Day 3]]")),0)),"")</f>
        <v/>
      </c>
      <c r="I51" s="267" t="str">
        <f ca="1">IFERROR(IF(VLOOKUP('Data Entry Form'!$CG58,tblData[],COLUMN(INDIRECT("tblData[[Day 4]]")),0)=0,"",VLOOKUP('Data Entry Form'!$CG58,tblData[],COLUMN(INDIRECT("tblData[[Day 4]]")),0)),"")</f>
        <v/>
      </c>
      <c r="J51" s="267" t="str">
        <f ca="1">IFERROR(IF(VLOOKUP('Data Entry Form'!$CG58,tblData[],COLUMN(INDIRECT("tblData[[Day 5]]")),0)=0,"",VLOOKUP('Data Entry Form'!$CG58,tblData[],COLUMN(INDIRECT("tblData[[Day 5]]")),0)),"")</f>
        <v/>
      </c>
      <c r="K51" s="267" t="str">
        <f ca="1">IFERROR(IF(VLOOKUP('Data Entry Form'!$CG58,tblData[],COLUMN(INDIRECT("tblData[[Day 6]]")),0)=0,"",VLOOKUP('Data Entry Form'!$CG58,tblData[],COLUMN(INDIRECT("tblData[[Day 6]]")),0)),"")</f>
        <v/>
      </c>
      <c r="L51" s="267" t="str">
        <f ca="1">IFERROR(IF(VLOOKUP('Data Entry Form'!$CG58,tblData[],COLUMN(INDIRECT("tblData[[Day 7]]")),0)=0,"",VLOOKUP('Data Entry Form'!$CG58,tblData[],COLUMN(INDIRECT("tblData[[Day 7]]")),0)),"")</f>
        <v/>
      </c>
      <c r="M51" s="267" t="str">
        <f ca="1">IFERROR(IF(VLOOKUP('Data Entry Form'!$CG58,tblData[],COLUMN(INDIRECT("tblData[[Day 8]]")),0)=0,"",VLOOKUP('Data Entry Form'!$CG58,tblData[],COLUMN(INDIRECT("tblData[[Day 8]]")),0)),"")</f>
        <v/>
      </c>
      <c r="N51" s="267" t="str">
        <f ca="1">IFERROR(IF(VLOOKUP('Data Entry Form'!$CG58,tblData[],COLUMN(INDIRECT("tblData[[Day 9]]")),0)=0,"",VLOOKUP('Data Entry Form'!$CG58,tblData[],COLUMN(INDIRECT("tblData[[Day 9]]")),0)),"")</f>
        <v/>
      </c>
    </row>
    <row r="52" spans="1:14" s="125" customFormat="1" ht="32.1" customHeight="1">
      <c r="A52" s="261" t="str">
        <f ca="1">IFERROR(VLOOKUP('Data Entry Form'!$CG59,tblData[],COLUMN(INDIRECT("tblData[[No]]")),0),"")</f>
        <v/>
      </c>
      <c r="B52" s="262" t="str">
        <f ca="1">IFERROR(VLOOKUP('Data Entry Form'!$CG59,tblData[],COLUMN(INDIRECT("tblData[[Surname]]")),0),"")</f>
        <v/>
      </c>
      <c r="C52" s="262" t="str">
        <f ca="1">IFERROR(VLOOKUP('Data Entry Form'!$CG59,tblData[],COLUMN(INDIRECT("tblData[[Given Name]]")),0),"")</f>
        <v/>
      </c>
      <c r="D52" s="262" t="str">
        <f ca="1">IFERROR(VLOOKUP('Data Entry Form'!$CG59,tblData[],COLUMN(INDIRECT("tblData[[Position]]")),0),"")</f>
        <v/>
      </c>
      <c r="E52" s="262" t="str">
        <f ca="1">IFERROR(VLOOKUP('Data Entry Form'!$CG59,tblData[],COLUMN(INDIRECT("tblData[[Gender]]")),0),"")</f>
        <v/>
      </c>
      <c r="F52" s="267" t="str">
        <f ca="1">IFERROR(IF(VLOOKUP('Data Entry Form'!$CG59,tblData[],COLUMN(INDIRECT("tblData[[Day 1]]")),0)=0,"",VLOOKUP('Data Entry Form'!$CG59,tblData[],COLUMN(INDIRECT("tblData[[Day 1]]")),0)),"")</f>
        <v/>
      </c>
      <c r="G52" s="267" t="str">
        <f ca="1">IFERROR(IF(VLOOKUP('Data Entry Form'!$CG59,tblData[],COLUMN(INDIRECT("tblData[[Day 2]]")),0)=0,"",VLOOKUP('Data Entry Form'!$CG59,tblData[],COLUMN(INDIRECT("tblData[[Day 2]]")),0)),"")</f>
        <v/>
      </c>
      <c r="H52" s="267" t="str">
        <f ca="1">IFERROR(IF(VLOOKUP('Data Entry Form'!$CG59,tblData[],COLUMN(INDIRECT("tblData[[Day 3]]")),0)=0,"",VLOOKUP('Data Entry Form'!$CG59,tblData[],COLUMN(INDIRECT("tblData[[Day 3]]")),0)),"")</f>
        <v/>
      </c>
      <c r="I52" s="267" t="str">
        <f ca="1">IFERROR(IF(VLOOKUP('Data Entry Form'!$CG59,tblData[],COLUMN(INDIRECT("tblData[[Day 4]]")),0)=0,"",VLOOKUP('Data Entry Form'!$CG59,tblData[],COLUMN(INDIRECT("tblData[[Day 4]]")),0)),"")</f>
        <v/>
      </c>
      <c r="J52" s="267" t="str">
        <f ca="1">IFERROR(IF(VLOOKUP('Data Entry Form'!$CG59,tblData[],COLUMN(INDIRECT("tblData[[Day 5]]")),0)=0,"",VLOOKUP('Data Entry Form'!$CG59,tblData[],COLUMN(INDIRECT("tblData[[Day 5]]")),0)),"")</f>
        <v/>
      </c>
      <c r="K52" s="267" t="str">
        <f ca="1">IFERROR(IF(VLOOKUP('Data Entry Form'!$CG59,tblData[],COLUMN(INDIRECT("tblData[[Day 6]]")),0)=0,"",VLOOKUP('Data Entry Form'!$CG59,tblData[],COLUMN(INDIRECT("tblData[[Day 6]]")),0)),"")</f>
        <v/>
      </c>
      <c r="L52" s="267" t="str">
        <f ca="1">IFERROR(IF(VLOOKUP('Data Entry Form'!$CG59,tblData[],COLUMN(INDIRECT("tblData[[Day 7]]")),0)=0,"",VLOOKUP('Data Entry Form'!$CG59,tblData[],COLUMN(INDIRECT("tblData[[Day 7]]")),0)),"")</f>
        <v/>
      </c>
      <c r="M52" s="267" t="str">
        <f ca="1">IFERROR(IF(VLOOKUP('Data Entry Form'!$CG59,tblData[],COLUMN(INDIRECT("tblData[[Day 8]]")),0)=0,"",VLOOKUP('Data Entry Form'!$CG59,tblData[],COLUMN(INDIRECT("tblData[[Day 8]]")),0)),"")</f>
        <v/>
      </c>
      <c r="N52" s="267" t="str">
        <f ca="1">IFERROR(IF(VLOOKUP('Data Entry Form'!$CG59,tblData[],COLUMN(INDIRECT("tblData[[Day 9]]")),0)=0,"",VLOOKUP('Data Entry Form'!$CG59,tblData[],COLUMN(INDIRECT("tblData[[Day 9]]")),0)),"")</f>
        <v/>
      </c>
    </row>
    <row r="53" spans="1:14" s="125" customFormat="1" ht="32.1" customHeight="1">
      <c r="A53" s="261" t="str">
        <f ca="1">IFERROR(VLOOKUP('Data Entry Form'!$CG60,tblData[],COLUMN(INDIRECT("tblData[[No]]")),0),"")</f>
        <v/>
      </c>
      <c r="B53" s="262" t="str">
        <f ca="1">IFERROR(VLOOKUP('Data Entry Form'!$CG60,tblData[],COLUMN(INDIRECT("tblData[[Surname]]")),0),"")</f>
        <v/>
      </c>
      <c r="C53" s="262" t="str">
        <f ca="1">IFERROR(VLOOKUP('Data Entry Form'!$CG60,tblData[],COLUMN(INDIRECT("tblData[[Given Name]]")),0),"")</f>
        <v/>
      </c>
      <c r="D53" s="262" t="str">
        <f ca="1">IFERROR(VLOOKUP('Data Entry Form'!$CG60,tblData[],COLUMN(INDIRECT("tblData[[Position]]")),0),"")</f>
        <v/>
      </c>
      <c r="E53" s="262" t="str">
        <f ca="1">IFERROR(VLOOKUP('Data Entry Form'!$CG60,tblData[],COLUMN(INDIRECT("tblData[[Gender]]")),0),"")</f>
        <v/>
      </c>
      <c r="F53" s="267" t="str">
        <f ca="1">IFERROR(IF(VLOOKUP('Data Entry Form'!$CG60,tblData[],COLUMN(INDIRECT("tblData[[Day 1]]")),0)=0,"",VLOOKUP('Data Entry Form'!$CG60,tblData[],COLUMN(INDIRECT("tblData[[Day 1]]")),0)),"")</f>
        <v/>
      </c>
      <c r="G53" s="267" t="str">
        <f ca="1">IFERROR(IF(VLOOKUP('Data Entry Form'!$CG60,tblData[],COLUMN(INDIRECT("tblData[[Day 2]]")),0)=0,"",VLOOKUP('Data Entry Form'!$CG60,tblData[],COLUMN(INDIRECT("tblData[[Day 2]]")),0)),"")</f>
        <v/>
      </c>
      <c r="H53" s="267" t="str">
        <f ca="1">IFERROR(IF(VLOOKUP('Data Entry Form'!$CG60,tblData[],COLUMN(INDIRECT("tblData[[Day 3]]")),0)=0,"",VLOOKUP('Data Entry Form'!$CG60,tblData[],COLUMN(INDIRECT("tblData[[Day 3]]")),0)),"")</f>
        <v/>
      </c>
      <c r="I53" s="267" t="str">
        <f ca="1">IFERROR(IF(VLOOKUP('Data Entry Form'!$CG60,tblData[],COLUMN(INDIRECT("tblData[[Day 4]]")),0)=0,"",VLOOKUP('Data Entry Form'!$CG60,tblData[],COLUMN(INDIRECT("tblData[[Day 4]]")),0)),"")</f>
        <v/>
      </c>
      <c r="J53" s="267" t="str">
        <f ca="1">IFERROR(IF(VLOOKUP('Data Entry Form'!$CG60,tblData[],COLUMN(INDIRECT("tblData[[Day 5]]")),0)=0,"",VLOOKUP('Data Entry Form'!$CG60,tblData[],COLUMN(INDIRECT("tblData[[Day 5]]")),0)),"")</f>
        <v/>
      </c>
      <c r="K53" s="267" t="str">
        <f ca="1">IFERROR(IF(VLOOKUP('Data Entry Form'!$CG60,tblData[],COLUMN(INDIRECT("tblData[[Day 6]]")),0)=0,"",VLOOKUP('Data Entry Form'!$CG60,tblData[],COLUMN(INDIRECT("tblData[[Day 6]]")),0)),"")</f>
        <v/>
      </c>
      <c r="L53" s="267" t="str">
        <f ca="1">IFERROR(IF(VLOOKUP('Data Entry Form'!$CG60,tblData[],COLUMN(INDIRECT("tblData[[Day 7]]")),0)=0,"",VLOOKUP('Data Entry Form'!$CG60,tblData[],COLUMN(INDIRECT("tblData[[Day 7]]")),0)),"")</f>
        <v/>
      </c>
      <c r="M53" s="267" t="str">
        <f ca="1">IFERROR(IF(VLOOKUP('Data Entry Form'!$CG60,tblData[],COLUMN(INDIRECT("tblData[[Day 8]]")),0)=0,"",VLOOKUP('Data Entry Form'!$CG60,tblData[],COLUMN(INDIRECT("tblData[[Day 8]]")),0)),"")</f>
        <v/>
      </c>
      <c r="N53" s="267" t="str">
        <f ca="1">IFERROR(IF(VLOOKUP('Data Entry Form'!$CG60,tblData[],COLUMN(INDIRECT("tblData[[Day 9]]")),0)=0,"",VLOOKUP('Data Entry Form'!$CG60,tblData[],COLUMN(INDIRECT("tblData[[Day 9]]")),0)),"")</f>
        <v/>
      </c>
    </row>
    <row r="54" spans="1:14" s="125" customFormat="1" ht="32.1" customHeight="1">
      <c r="A54" s="261" t="str">
        <f ca="1">IFERROR(VLOOKUP('Data Entry Form'!$CG61,tblData[],COLUMN(INDIRECT("tblData[[No]]")),0),"")</f>
        <v/>
      </c>
      <c r="B54" s="262" t="str">
        <f ca="1">IFERROR(VLOOKUP('Data Entry Form'!$CG61,tblData[],COLUMN(INDIRECT("tblData[[Surname]]")),0),"")</f>
        <v/>
      </c>
      <c r="C54" s="262" t="str">
        <f ca="1">IFERROR(VLOOKUP('Data Entry Form'!$CG61,tblData[],COLUMN(INDIRECT("tblData[[Given Name]]")),0),"")</f>
        <v/>
      </c>
      <c r="D54" s="262" t="str">
        <f ca="1">IFERROR(VLOOKUP('Data Entry Form'!$CG61,tblData[],COLUMN(INDIRECT("tblData[[Position]]")),0),"")</f>
        <v/>
      </c>
      <c r="E54" s="262" t="str">
        <f ca="1">IFERROR(VLOOKUP('Data Entry Form'!$CG61,tblData[],COLUMN(INDIRECT("tblData[[Gender]]")),0),"")</f>
        <v/>
      </c>
      <c r="F54" s="267" t="str">
        <f ca="1">IFERROR(IF(VLOOKUP('Data Entry Form'!$CG61,tblData[],COLUMN(INDIRECT("tblData[[Day 1]]")),0)=0,"",VLOOKUP('Data Entry Form'!$CG61,tblData[],COLUMN(INDIRECT("tblData[[Day 1]]")),0)),"")</f>
        <v/>
      </c>
      <c r="G54" s="267" t="str">
        <f ca="1">IFERROR(IF(VLOOKUP('Data Entry Form'!$CG61,tblData[],COLUMN(INDIRECT("tblData[[Day 2]]")),0)=0,"",VLOOKUP('Data Entry Form'!$CG61,tblData[],COLUMN(INDIRECT("tblData[[Day 2]]")),0)),"")</f>
        <v/>
      </c>
      <c r="H54" s="267" t="str">
        <f ca="1">IFERROR(IF(VLOOKUP('Data Entry Form'!$CG61,tblData[],COLUMN(INDIRECT("tblData[[Day 3]]")),0)=0,"",VLOOKUP('Data Entry Form'!$CG61,tblData[],COLUMN(INDIRECT("tblData[[Day 3]]")),0)),"")</f>
        <v/>
      </c>
      <c r="I54" s="267" t="str">
        <f ca="1">IFERROR(IF(VLOOKUP('Data Entry Form'!$CG61,tblData[],COLUMN(INDIRECT("tblData[[Day 4]]")),0)=0,"",VLOOKUP('Data Entry Form'!$CG61,tblData[],COLUMN(INDIRECT("tblData[[Day 4]]")),0)),"")</f>
        <v/>
      </c>
      <c r="J54" s="267" t="str">
        <f ca="1">IFERROR(IF(VLOOKUP('Data Entry Form'!$CG61,tblData[],COLUMN(INDIRECT("tblData[[Day 5]]")),0)=0,"",VLOOKUP('Data Entry Form'!$CG61,tblData[],COLUMN(INDIRECT("tblData[[Day 5]]")),0)),"")</f>
        <v/>
      </c>
      <c r="K54" s="267" t="str">
        <f ca="1">IFERROR(IF(VLOOKUP('Data Entry Form'!$CG61,tblData[],COLUMN(INDIRECT("tblData[[Day 6]]")),0)=0,"",VLOOKUP('Data Entry Form'!$CG61,tblData[],COLUMN(INDIRECT("tblData[[Day 6]]")),0)),"")</f>
        <v/>
      </c>
      <c r="L54" s="267" t="str">
        <f ca="1">IFERROR(IF(VLOOKUP('Data Entry Form'!$CG61,tblData[],COLUMN(INDIRECT("tblData[[Day 7]]")),0)=0,"",VLOOKUP('Data Entry Form'!$CG61,tblData[],COLUMN(INDIRECT("tblData[[Day 7]]")),0)),"")</f>
        <v/>
      </c>
      <c r="M54" s="267" t="str">
        <f ca="1">IFERROR(IF(VLOOKUP('Data Entry Form'!$CG61,tblData[],COLUMN(INDIRECT("tblData[[Day 8]]")),0)=0,"",VLOOKUP('Data Entry Form'!$CG61,tblData[],COLUMN(INDIRECT("tblData[[Day 8]]")),0)),"")</f>
        <v/>
      </c>
      <c r="N54" s="267" t="str">
        <f ca="1">IFERROR(IF(VLOOKUP('Data Entry Form'!$CG61,tblData[],COLUMN(INDIRECT("tblData[[Day 9]]")),0)=0,"",VLOOKUP('Data Entry Form'!$CG61,tblData[],COLUMN(INDIRECT("tblData[[Day 9]]")),0)),"")</f>
        <v/>
      </c>
    </row>
    <row r="55" spans="1:14" s="125" customFormat="1" ht="32.1" customHeight="1">
      <c r="A55" s="261" t="str">
        <f ca="1">IFERROR(VLOOKUP('Data Entry Form'!$CG62,tblData[],COLUMN(INDIRECT("tblData[[No]]")),0),"")</f>
        <v/>
      </c>
      <c r="B55" s="262" t="str">
        <f ca="1">IFERROR(VLOOKUP('Data Entry Form'!$CG62,tblData[],COLUMN(INDIRECT("tblData[[Surname]]")),0),"")</f>
        <v/>
      </c>
      <c r="C55" s="262" t="str">
        <f ca="1">IFERROR(VLOOKUP('Data Entry Form'!$CG62,tblData[],COLUMN(INDIRECT("tblData[[Given Name]]")),0),"")</f>
        <v/>
      </c>
      <c r="D55" s="262" t="str">
        <f ca="1">IFERROR(VLOOKUP('Data Entry Form'!$CG62,tblData[],COLUMN(INDIRECT("tblData[[Position]]")),0),"")</f>
        <v/>
      </c>
      <c r="E55" s="262" t="str">
        <f ca="1">IFERROR(VLOOKUP('Data Entry Form'!$CG62,tblData[],COLUMN(INDIRECT("tblData[[Gender]]")),0),"")</f>
        <v/>
      </c>
      <c r="F55" s="267" t="str">
        <f ca="1">IFERROR(IF(VLOOKUP('Data Entry Form'!$CG62,tblData[],COLUMN(INDIRECT("tblData[[Day 1]]")),0)=0,"",VLOOKUP('Data Entry Form'!$CG62,tblData[],COLUMN(INDIRECT("tblData[[Day 1]]")),0)),"")</f>
        <v/>
      </c>
      <c r="G55" s="267" t="str">
        <f ca="1">IFERROR(IF(VLOOKUP('Data Entry Form'!$CG62,tblData[],COLUMN(INDIRECT("tblData[[Day 2]]")),0)=0,"",VLOOKUP('Data Entry Form'!$CG62,tblData[],COLUMN(INDIRECT("tblData[[Day 2]]")),0)),"")</f>
        <v/>
      </c>
      <c r="H55" s="267" t="str">
        <f ca="1">IFERROR(IF(VLOOKUP('Data Entry Form'!$CG62,tblData[],COLUMN(INDIRECT("tblData[[Day 3]]")),0)=0,"",VLOOKUP('Data Entry Form'!$CG62,tblData[],COLUMN(INDIRECT("tblData[[Day 3]]")),0)),"")</f>
        <v/>
      </c>
      <c r="I55" s="267" t="str">
        <f ca="1">IFERROR(IF(VLOOKUP('Data Entry Form'!$CG62,tblData[],COLUMN(INDIRECT("tblData[[Day 4]]")),0)=0,"",VLOOKUP('Data Entry Form'!$CG62,tblData[],COLUMN(INDIRECT("tblData[[Day 4]]")),0)),"")</f>
        <v/>
      </c>
      <c r="J55" s="267" t="str">
        <f ca="1">IFERROR(IF(VLOOKUP('Data Entry Form'!$CG62,tblData[],COLUMN(INDIRECT("tblData[[Day 5]]")),0)=0,"",VLOOKUP('Data Entry Form'!$CG62,tblData[],COLUMN(INDIRECT("tblData[[Day 5]]")),0)),"")</f>
        <v/>
      </c>
      <c r="K55" s="267" t="str">
        <f ca="1">IFERROR(IF(VLOOKUP('Data Entry Form'!$CG62,tblData[],COLUMN(INDIRECT("tblData[[Day 6]]")),0)=0,"",VLOOKUP('Data Entry Form'!$CG62,tblData[],COLUMN(INDIRECT("tblData[[Day 6]]")),0)),"")</f>
        <v/>
      </c>
      <c r="L55" s="267" t="str">
        <f ca="1">IFERROR(IF(VLOOKUP('Data Entry Form'!$CG62,tblData[],COLUMN(INDIRECT("tblData[[Day 7]]")),0)=0,"",VLOOKUP('Data Entry Form'!$CG62,tblData[],COLUMN(INDIRECT("tblData[[Day 7]]")),0)),"")</f>
        <v/>
      </c>
      <c r="M55" s="267" t="str">
        <f ca="1">IFERROR(IF(VLOOKUP('Data Entry Form'!$CG62,tblData[],COLUMN(INDIRECT("tblData[[Day 8]]")),0)=0,"",VLOOKUP('Data Entry Form'!$CG62,tblData[],COLUMN(INDIRECT("tblData[[Day 8]]")),0)),"")</f>
        <v/>
      </c>
      <c r="N55" s="267" t="str">
        <f ca="1">IFERROR(IF(VLOOKUP('Data Entry Form'!$CG62,tblData[],COLUMN(INDIRECT("tblData[[Day 9]]")),0)=0,"",VLOOKUP('Data Entry Form'!$CG62,tblData[],COLUMN(INDIRECT("tblData[[Day 9]]")),0)),"")</f>
        <v/>
      </c>
    </row>
    <row r="56" spans="1:14" s="125" customFormat="1" ht="32.1" customHeight="1">
      <c r="A56" s="261" t="str">
        <f ca="1">IFERROR(VLOOKUP('Data Entry Form'!$CG63,tblData[],COLUMN(INDIRECT("tblData[[No]]")),0),"")</f>
        <v/>
      </c>
      <c r="B56" s="262" t="str">
        <f ca="1">IFERROR(VLOOKUP('Data Entry Form'!$CG63,tblData[],COLUMN(INDIRECT("tblData[[Surname]]")),0),"")</f>
        <v/>
      </c>
      <c r="C56" s="262" t="str">
        <f ca="1">IFERROR(VLOOKUP('Data Entry Form'!$CG63,tblData[],COLUMN(INDIRECT("tblData[[Given Name]]")),0),"")</f>
        <v/>
      </c>
      <c r="D56" s="262" t="str">
        <f ca="1">IFERROR(VLOOKUP('Data Entry Form'!$CG63,tblData[],COLUMN(INDIRECT("tblData[[Position]]")),0),"")</f>
        <v/>
      </c>
      <c r="E56" s="262" t="str">
        <f ca="1">IFERROR(VLOOKUP('Data Entry Form'!$CG63,tblData[],COLUMN(INDIRECT("tblData[[Gender]]")),0),"")</f>
        <v/>
      </c>
      <c r="F56" s="267" t="str">
        <f ca="1">IFERROR(IF(VLOOKUP('Data Entry Form'!$CG63,tblData[],COLUMN(INDIRECT("tblData[[Day 1]]")),0)=0,"",VLOOKUP('Data Entry Form'!$CG63,tblData[],COLUMN(INDIRECT("tblData[[Day 1]]")),0)),"")</f>
        <v/>
      </c>
      <c r="G56" s="267" t="str">
        <f ca="1">IFERROR(IF(VLOOKUP('Data Entry Form'!$CG63,tblData[],COLUMN(INDIRECT("tblData[[Day 2]]")),0)=0,"",VLOOKUP('Data Entry Form'!$CG63,tblData[],COLUMN(INDIRECT("tblData[[Day 2]]")),0)),"")</f>
        <v/>
      </c>
      <c r="H56" s="267" t="str">
        <f ca="1">IFERROR(IF(VLOOKUP('Data Entry Form'!$CG63,tblData[],COLUMN(INDIRECT("tblData[[Day 3]]")),0)=0,"",VLOOKUP('Data Entry Form'!$CG63,tblData[],COLUMN(INDIRECT("tblData[[Day 3]]")),0)),"")</f>
        <v/>
      </c>
      <c r="I56" s="267" t="str">
        <f ca="1">IFERROR(IF(VLOOKUP('Data Entry Form'!$CG63,tblData[],COLUMN(INDIRECT("tblData[[Day 4]]")),0)=0,"",VLOOKUP('Data Entry Form'!$CG63,tblData[],COLUMN(INDIRECT("tblData[[Day 4]]")),0)),"")</f>
        <v/>
      </c>
      <c r="J56" s="267" t="str">
        <f ca="1">IFERROR(IF(VLOOKUP('Data Entry Form'!$CG63,tblData[],COLUMN(INDIRECT("tblData[[Day 5]]")),0)=0,"",VLOOKUP('Data Entry Form'!$CG63,tblData[],COLUMN(INDIRECT("tblData[[Day 5]]")),0)),"")</f>
        <v/>
      </c>
      <c r="K56" s="267" t="str">
        <f ca="1">IFERROR(IF(VLOOKUP('Data Entry Form'!$CG63,tblData[],COLUMN(INDIRECT("tblData[[Day 6]]")),0)=0,"",VLOOKUP('Data Entry Form'!$CG63,tblData[],COLUMN(INDIRECT("tblData[[Day 6]]")),0)),"")</f>
        <v/>
      </c>
      <c r="L56" s="267" t="str">
        <f ca="1">IFERROR(IF(VLOOKUP('Data Entry Form'!$CG63,tblData[],COLUMN(INDIRECT("tblData[[Day 7]]")),0)=0,"",VLOOKUP('Data Entry Form'!$CG63,tblData[],COLUMN(INDIRECT("tblData[[Day 7]]")),0)),"")</f>
        <v/>
      </c>
      <c r="M56" s="267" t="str">
        <f ca="1">IFERROR(IF(VLOOKUP('Data Entry Form'!$CG63,tblData[],COLUMN(INDIRECT("tblData[[Day 8]]")),0)=0,"",VLOOKUP('Data Entry Form'!$CG63,tblData[],COLUMN(INDIRECT("tblData[[Day 8]]")),0)),"")</f>
        <v/>
      </c>
      <c r="N56" s="267" t="str">
        <f ca="1">IFERROR(IF(VLOOKUP('Data Entry Form'!$CG63,tblData[],COLUMN(INDIRECT("tblData[[Day 9]]")),0)=0,"",VLOOKUP('Data Entry Form'!$CG63,tblData[],COLUMN(INDIRECT("tblData[[Day 9]]")),0)),"")</f>
        <v/>
      </c>
    </row>
    <row r="57" spans="1:14" s="125" customFormat="1" ht="32.1" customHeight="1">
      <c r="A57" s="261" t="str">
        <f ca="1">IFERROR(VLOOKUP('Data Entry Form'!$CG64,tblData[],COLUMN(INDIRECT("tblData[[No]]")),0),"")</f>
        <v/>
      </c>
      <c r="B57" s="262" t="str">
        <f ca="1">IFERROR(VLOOKUP('Data Entry Form'!$CG64,tblData[],COLUMN(INDIRECT("tblData[[Surname]]")),0),"")</f>
        <v/>
      </c>
      <c r="C57" s="262" t="str">
        <f ca="1">IFERROR(VLOOKUP('Data Entry Form'!$CG64,tblData[],COLUMN(INDIRECT("tblData[[Given Name]]")),0),"")</f>
        <v/>
      </c>
      <c r="D57" s="262" t="str">
        <f ca="1">IFERROR(VLOOKUP('Data Entry Form'!$CG64,tblData[],COLUMN(INDIRECT("tblData[[Position]]")),0),"")</f>
        <v/>
      </c>
      <c r="E57" s="262" t="str">
        <f ca="1">IFERROR(VLOOKUP('Data Entry Form'!$CG64,tblData[],COLUMN(INDIRECT("tblData[[Gender]]")),0),"")</f>
        <v/>
      </c>
      <c r="F57" s="267" t="str">
        <f ca="1">IFERROR(IF(VLOOKUP('Data Entry Form'!$CG64,tblData[],COLUMN(INDIRECT("tblData[[Day 1]]")),0)=0,"",VLOOKUP('Data Entry Form'!$CG64,tblData[],COLUMN(INDIRECT("tblData[[Day 1]]")),0)),"")</f>
        <v/>
      </c>
      <c r="G57" s="267" t="str">
        <f ca="1">IFERROR(IF(VLOOKUP('Data Entry Form'!$CG64,tblData[],COLUMN(INDIRECT("tblData[[Day 2]]")),0)=0,"",VLOOKUP('Data Entry Form'!$CG64,tblData[],COLUMN(INDIRECT("tblData[[Day 2]]")),0)),"")</f>
        <v/>
      </c>
      <c r="H57" s="267" t="str">
        <f ca="1">IFERROR(IF(VLOOKUP('Data Entry Form'!$CG64,tblData[],COLUMN(INDIRECT("tblData[[Day 3]]")),0)=0,"",VLOOKUP('Data Entry Form'!$CG64,tblData[],COLUMN(INDIRECT("tblData[[Day 3]]")),0)),"")</f>
        <v/>
      </c>
      <c r="I57" s="267" t="str">
        <f ca="1">IFERROR(IF(VLOOKUP('Data Entry Form'!$CG64,tblData[],COLUMN(INDIRECT("tblData[[Day 4]]")),0)=0,"",VLOOKUP('Data Entry Form'!$CG64,tblData[],COLUMN(INDIRECT("tblData[[Day 4]]")),0)),"")</f>
        <v/>
      </c>
      <c r="J57" s="267" t="str">
        <f ca="1">IFERROR(IF(VLOOKUP('Data Entry Form'!$CG64,tblData[],COLUMN(INDIRECT("tblData[[Day 5]]")),0)=0,"",VLOOKUP('Data Entry Form'!$CG64,tblData[],COLUMN(INDIRECT("tblData[[Day 5]]")),0)),"")</f>
        <v/>
      </c>
      <c r="K57" s="267" t="str">
        <f ca="1">IFERROR(IF(VLOOKUP('Data Entry Form'!$CG64,tblData[],COLUMN(INDIRECT("tblData[[Day 6]]")),0)=0,"",VLOOKUP('Data Entry Form'!$CG64,tblData[],COLUMN(INDIRECT("tblData[[Day 6]]")),0)),"")</f>
        <v/>
      </c>
      <c r="L57" s="267" t="str">
        <f ca="1">IFERROR(IF(VLOOKUP('Data Entry Form'!$CG64,tblData[],COLUMN(INDIRECT("tblData[[Day 7]]")),0)=0,"",VLOOKUP('Data Entry Form'!$CG64,tblData[],COLUMN(INDIRECT("tblData[[Day 7]]")),0)),"")</f>
        <v/>
      </c>
      <c r="M57" s="267" t="str">
        <f ca="1">IFERROR(IF(VLOOKUP('Data Entry Form'!$CG64,tblData[],COLUMN(INDIRECT("tblData[[Day 8]]")),0)=0,"",VLOOKUP('Data Entry Form'!$CG64,tblData[],COLUMN(INDIRECT("tblData[[Day 8]]")),0)),"")</f>
        <v/>
      </c>
      <c r="N57" s="267" t="str">
        <f ca="1">IFERROR(IF(VLOOKUP('Data Entry Form'!$CG64,tblData[],COLUMN(INDIRECT("tblData[[Day 9]]")),0)=0,"",VLOOKUP('Data Entry Form'!$CG64,tblData[],COLUMN(INDIRECT("tblData[[Day 9]]")),0)),"")</f>
        <v/>
      </c>
    </row>
    <row r="58" spans="1:14" s="125" customFormat="1" ht="32.1" customHeight="1">
      <c r="A58" s="261" t="str">
        <f ca="1">IFERROR(VLOOKUP('Data Entry Form'!$CG65,tblData[],COLUMN(INDIRECT("tblData[[No]]")),0),"")</f>
        <v/>
      </c>
      <c r="B58" s="262" t="str">
        <f ca="1">IFERROR(VLOOKUP('Data Entry Form'!$CG65,tblData[],COLUMN(INDIRECT("tblData[[Surname]]")),0),"")</f>
        <v/>
      </c>
      <c r="C58" s="262" t="str">
        <f ca="1">IFERROR(VLOOKUP('Data Entry Form'!$CG65,tblData[],COLUMN(INDIRECT("tblData[[Given Name]]")),0),"")</f>
        <v/>
      </c>
      <c r="D58" s="262" t="str">
        <f ca="1">IFERROR(VLOOKUP('Data Entry Form'!$CG65,tblData[],COLUMN(INDIRECT("tblData[[Position]]")),0),"")</f>
        <v/>
      </c>
      <c r="E58" s="262" t="str">
        <f ca="1">IFERROR(VLOOKUP('Data Entry Form'!$CG65,tblData[],COLUMN(INDIRECT("tblData[[Gender]]")),0),"")</f>
        <v/>
      </c>
      <c r="F58" s="267" t="str">
        <f ca="1">IFERROR(IF(VLOOKUP('Data Entry Form'!$CG65,tblData[],COLUMN(INDIRECT("tblData[[Day 1]]")),0)=0,"",VLOOKUP('Data Entry Form'!$CG65,tblData[],COLUMN(INDIRECT("tblData[[Day 1]]")),0)),"")</f>
        <v/>
      </c>
      <c r="G58" s="267" t="str">
        <f ca="1">IFERROR(IF(VLOOKUP('Data Entry Form'!$CG65,tblData[],COLUMN(INDIRECT("tblData[[Day 2]]")),0)=0,"",VLOOKUP('Data Entry Form'!$CG65,tblData[],COLUMN(INDIRECT("tblData[[Day 2]]")),0)),"")</f>
        <v/>
      </c>
      <c r="H58" s="267" t="str">
        <f ca="1">IFERROR(IF(VLOOKUP('Data Entry Form'!$CG65,tblData[],COLUMN(INDIRECT("tblData[[Day 3]]")),0)=0,"",VLOOKUP('Data Entry Form'!$CG65,tblData[],COLUMN(INDIRECT("tblData[[Day 3]]")),0)),"")</f>
        <v/>
      </c>
      <c r="I58" s="267" t="str">
        <f ca="1">IFERROR(IF(VLOOKUP('Data Entry Form'!$CG65,tblData[],COLUMN(INDIRECT("tblData[[Day 4]]")),0)=0,"",VLOOKUP('Data Entry Form'!$CG65,tblData[],COLUMN(INDIRECT("tblData[[Day 4]]")),0)),"")</f>
        <v/>
      </c>
      <c r="J58" s="267" t="str">
        <f ca="1">IFERROR(IF(VLOOKUP('Data Entry Form'!$CG65,tblData[],COLUMN(INDIRECT("tblData[[Day 5]]")),0)=0,"",VLOOKUP('Data Entry Form'!$CG65,tblData[],COLUMN(INDIRECT("tblData[[Day 5]]")),0)),"")</f>
        <v/>
      </c>
      <c r="K58" s="267" t="str">
        <f ca="1">IFERROR(IF(VLOOKUP('Data Entry Form'!$CG65,tblData[],COLUMN(INDIRECT("tblData[[Day 6]]")),0)=0,"",VLOOKUP('Data Entry Form'!$CG65,tblData[],COLUMN(INDIRECT("tblData[[Day 6]]")),0)),"")</f>
        <v/>
      </c>
      <c r="L58" s="267" t="str">
        <f ca="1">IFERROR(IF(VLOOKUP('Data Entry Form'!$CG65,tblData[],COLUMN(INDIRECT("tblData[[Day 7]]")),0)=0,"",VLOOKUP('Data Entry Form'!$CG65,tblData[],COLUMN(INDIRECT("tblData[[Day 7]]")),0)),"")</f>
        <v/>
      </c>
      <c r="M58" s="267" t="str">
        <f ca="1">IFERROR(IF(VLOOKUP('Data Entry Form'!$CG65,tblData[],COLUMN(INDIRECT("tblData[[Day 8]]")),0)=0,"",VLOOKUP('Data Entry Form'!$CG65,tblData[],COLUMN(INDIRECT("tblData[[Day 8]]")),0)),"")</f>
        <v/>
      </c>
      <c r="N58" s="267" t="str">
        <f ca="1">IFERROR(IF(VLOOKUP('Data Entry Form'!$CG65,tblData[],COLUMN(INDIRECT("tblData[[Day 9]]")),0)=0,"",VLOOKUP('Data Entry Form'!$CG65,tblData[],COLUMN(INDIRECT("tblData[[Day 9]]")),0)),"")</f>
        <v/>
      </c>
    </row>
    <row r="59" spans="1:14" s="125" customFormat="1" ht="32.1" customHeight="1">
      <c r="A59" s="261" t="str">
        <f ca="1">IFERROR(VLOOKUP('Data Entry Form'!$CG66,tblData[],COLUMN(INDIRECT("tblData[[No]]")),0),"")</f>
        <v/>
      </c>
      <c r="B59" s="262" t="str">
        <f ca="1">IFERROR(VLOOKUP('Data Entry Form'!$CG66,tblData[],COLUMN(INDIRECT("tblData[[Surname]]")),0),"")</f>
        <v/>
      </c>
      <c r="C59" s="262" t="str">
        <f ca="1">IFERROR(VLOOKUP('Data Entry Form'!$CG66,tblData[],COLUMN(INDIRECT("tblData[[Given Name]]")),0),"")</f>
        <v/>
      </c>
      <c r="D59" s="262" t="str">
        <f ca="1">IFERROR(VLOOKUP('Data Entry Form'!$CG66,tblData[],COLUMN(INDIRECT("tblData[[Position]]")),0),"")</f>
        <v/>
      </c>
      <c r="E59" s="262" t="str">
        <f ca="1">IFERROR(VLOOKUP('Data Entry Form'!$CG66,tblData[],COLUMN(INDIRECT("tblData[[Gender]]")),0),"")</f>
        <v/>
      </c>
      <c r="F59" s="267" t="str">
        <f ca="1">IFERROR(IF(VLOOKUP('Data Entry Form'!$CG66,tblData[],COLUMN(INDIRECT("tblData[[Day 1]]")),0)=0,"",VLOOKUP('Data Entry Form'!$CG66,tblData[],COLUMN(INDIRECT("tblData[[Day 1]]")),0)),"")</f>
        <v/>
      </c>
      <c r="G59" s="267" t="str">
        <f ca="1">IFERROR(IF(VLOOKUP('Data Entry Form'!$CG66,tblData[],COLUMN(INDIRECT("tblData[[Day 2]]")),0)=0,"",VLOOKUP('Data Entry Form'!$CG66,tblData[],COLUMN(INDIRECT("tblData[[Day 2]]")),0)),"")</f>
        <v/>
      </c>
      <c r="H59" s="267" t="str">
        <f ca="1">IFERROR(IF(VLOOKUP('Data Entry Form'!$CG66,tblData[],COLUMN(INDIRECT("tblData[[Day 3]]")),0)=0,"",VLOOKUP('Data Entry Form'!$CG66,tblData[],COLUMN(INDIRECT("tblData[[Day 3]]")),0)),"")</f>
        <v/>
      </c>
      <c r="I59" s="267" t="str">
        <f ca="1">IFERROR(IF(VLOOKUP('Data Entry Form'!$CG66,tblData[],COLUMN(INDIRECT("tblData[[Day 4]]")),0)=0,"",VLOOKUP('Data Entry Form'!$CG66,tblData[],COLUMN(INDIRECT("tblData[[Day 4]]")),0)),"")</f>
        <v/>
      </c>
      <c r="J59" s="267" t="str">
        <f ca="1">IFERROR(IF(VLOOKUP('Data Entry Form'!$CG66,tblData[],COLUMN(INDIRECT("tblData[[Day 5]]")),0)=0,"",VLOOKUP('Data Entry Form'!$CG66,tblData[],COLUMN(INDIRECT("tblData[[Day 5]]")),0)),"")</f>
        <v/>
      </c>
      <c r="K59" s="267" t="str">
        <f ca="1">IFERROR(IF(VLOOKUP('Data Entry Form'!$CG66,tblData[],COLUMN(INDIRECT("tblData[[Day 6]]")),0)=0,"",VLOOKUP('Data Entry Form'!$CG66,tblData[],COLUMN(INDIRECT("tblData[[Day 6]]")),0)),"")</f>
        <v/>
      </c>
      <c r="L59" s="267" t="str">
        <f ca="1">IFERROR(IF(VLOOKUP('Data Entry Form'!$CG66,tblData[],COLUMN(INDIRECT("tblData[[Day 7]]")),0)=0,"",VLOOKUP('Data Entry Form'!$CG66,tblData[],COLUMN(INDIRECT("tblData[[Day 7]]")),0)),"")</f>
        <v/>
      </c>
      <c r="M59" s="267" t="str">
        <f ca="1">IFERROR(IF(VLOOKUP('Data Entry Form'!$CG66,tblData[],COLUMN(INDIRECT("tblData[[Day 8]]")),0)=0,"",VLOOKUP('Data Entry Form'!$CG66,tblData[],COLUMN(INDIRECT("tblData[[Day 8]]")),0)),"")</f>
        <v/>
      </c>
      <c r="N59" s="267" t="str">
        <f ca="1">IFERROR(IF(VLOOKUP('Data Entry Form'!$CG66,tblData[],COLUMN(INDIRECT("tblData[[Day 9]]")),0)=0,"",VLOOKUP('Data Entry Form'!$CG66,tblData[],COLUMN(INDIRECT("tblData[[Day 9]]")),0)),"")</f>
        <v/>
      </c>
    </row>
    <row r="60" spans="1:14" s="125" customFormat="1" ht="32.1" customHeight="1">
      <c r="A60" s="261" t="str">
        <f ca="1">IFERROR(VLOOKUP('Data Entry Form'!$CG67,tblData[],COLUMN(INDIRECT("tblData[[No]]")),0),"")</f>
        <v/>
      </c>
      <c r="B60" s="262" t="str">
        <f ca="1">IFERROR(VLOOKUP('Data Entry Form'!$CG67,tblData[],COLUMN(INDIRECT("tblData[[Surname]]")),0),"")</f>
        <v/>
      </c>
      <c r="C60" s="262" t="str">
        <f ca="1">IFERROR(VLOOKUP('Data Entry Form'!$CG67,tblData[],COLUMN(INDIRECT("tblData[[Given Name]]")),0),"")</f>
        <v/>
      </c>
      <c r="D60" s="262" t="str">
        <f ca="1">IFERROR(VLOOKUP('Data Entry Form'!$CG67,tblData[],COLUMN(INDIRECT("tblData[[Position]]")),0),"")</f>
        <v/>
      </c>
      <c r="E60" s="262" t="str">
        <f ca="1">IFERROR(VLOOKUP('Data Entry Form'!$CG67,tblData[],COLUMN(INDIRECT("tblData[[Gender]]")),0),"")</f>
        <v/>
      </c>
      <c r="F60" s="267" t="str">
        <f ca="1">IFERROR(IF(VLOOKUP('Data Entry Form'!$CG67,tblData[],COLUMN(INDIRECT("tblData[[Day 1]]")),0)=0,"",VLOOKUP('Data Entry Form'!$CG67,tblData[],COLUMN(INDIRECT("tblData[[Day 1]]")),0)),"")</f>
        <v/>
      </c>
      <c r="G60" s="267" t="str">
        <f ca="1">IFERROR(IF(VLOOKUP('Data Entry Form'!$CG67,tblData[],COLUMN(INDIRECT("tblData[[Day 2]]")),0)=0,"",VLOOKUP('Data Entry Form'!$CG67,tblData[],COLUMN(INDIRECT("tblData[[Day 2]]")),0)),"")</f>
        <v/>
      </c>
      <c r="H60" s="267" t="str">
        <f ca="1">IFERROR(IF(VLOOKUP('Data Entry Form'!$CG67,tblData[],COLUMN(INDIRECT("tblData[[Day 3]]")),0)=0,"",VLOOKUP('Data Entry Form'!$CG67,tblData[],COLUMN(INDIRECT("tblData[[Day 3]]")),0)),"")</f>
        <v/>
      </c>
      <c r="I60" s="267" t="str">
        <f ca="1">IFERROR(IF(VLOOKUP('Data Entry Form'!$CG67,tblData[],COLUMN(INDIRECT("tblData[[Day 4]]")),0)=0,"",VLOOKUP('Data Entry Form'!$CG67,tblData[],COLUMN(INDIRECT("tblData[[Day 4]]")),0)),"")</f>
        <v/>
      </c>
      <c r="J60" s="267" t="str">
        <f ca="1">IFERROR(IF(VLOOKUP('Data Entry Form'!$CG67,tblData[],COLUMN(INDIRECT("tblData[[Day 5]]")),0)=0,"",VLOOKUP('Data Entry Form'!$CG67,tblData[],COLUMN(INDIRECT("tblData[[Day 5]]")),0)),"")</f>
        <v/>
      </c>
      <c r="K60" s="267" t="str">
        <f ca="1">IFERROR(IF(VLOOKUP('Data Entry Form'!$CG67,tblData[],COLUMN(INDIRECT("tblData[[Day 6]]")),0)=0,"",VLOOKUP('Data Entry Form'!$CG67,tblData[],COLUMN(INDIRECT("tblData[[Day 6]]")),0)),"")</f>
        <v/>
      </c>
      <c r="L60" s="267" t="str">
        <f ca="1">IFERROR(IF(VLOOKUP('Data Entry Form'!$CG67,tblData[],COLUMN(INDIRECT("tblData[[Day 7]]")),0)=0,"",VLOOKUP('Data Entry Form'!$CG67,tblData[],COLUMN(INDIRECT("tblData[[Day 7]]")),0)),"")</f>
        <v/>
      </c>
      <c r="M60" s="267" t="str">
        <f ca="1">IFERROR(IF(VLOOKUP('Data Entry Form'!$CG67,tblData[],COLUMN(INDIRECT("tblData[[Day 8]]")),0)=0,"",VLOOKUP('Data Entry Form'!$CG67,tblData[],COLUMN(INDIRECT("tblData[[Day 8]]")),0)),"")</f>
        <v/>
      </c>
      <c r="N60" s="267" t="str">
        <f ca="1">IFERROR(IF(VLOOKUP('Data Entry Form'!$CG67,tblData[],COLUMN(INDIRECT("tblData[[Day 9]]")),0)=0,"",VLOOKUP('Data Entry Form'!$CG67,tblData[],COLUMN(INDIRECT("tblData[[Day 9]]")),0)),"")</f>
        <v/>
      </c>
    </row>
    <row r="61" spans="1:14" s="125" customFormat="1" ht="32.1" customHeight="1">
      <c r="A61" s="261" t="str">
        <f ca="1">IFERROR(VLOOKUP('Data Entry Form'!$CG68,tblData[],COLUMN(INDIRECT("tblData[[No]]")),0),"")</f>
        <v/>
      </c>
      <c r="B61" s="262" t="str">
        <f ca="1">IFERROR(VLOOKUP('Data Entry Form'!$CG68,tblData[],COLUMN(INDIRECT("tblData[[Surname]]")),0),"")</f>
        <v/>
      </c>
      <c r="C61" s="262" t="str">
        <f ca="1">IFERROR(VLOOKUP('Data Entry Form'!$CG68,tblData[],COLUMN(INDIRECT("tblData[[Given Name]]")),0),"")</f>
        <v/>
      </c>
      <c r="D61" s="262" t="str">
        <f ca="1">IFERROR(VLOOKUP('Data Entry Form'!$CG68,tblData[],COLUMN(INDIRECT("tblData[[Position]]")),0),"")</f>
        <v/>
      </c>
      <c r="E61" s="262" t="str">
        <f ca="1">IFERROR(VLOOKUP('Data Entry Form'!$CG68,tblData[],COLUMN(INDIRECT("tblData[[Gender]]")),0),"")</f>
        <v/>
      </c>
      <c r="F61" s="267" t="str">
        <f ca="1">IFERROR(IF(VLOOKUP('Data Entry Form'!$CG68,tblData[],COLUMN(INDIRECT("tblData[[Day 1]]")),0)=0,"",VLOOKUP('Data Entry Form'!$CG68,tblData[],COLUMN(INDIRECT("tblData[[Day 1]]")),0)),"")</f>
        <v/>
      </c>
      <c r="G61" s="267" t="str">
        <f ca="1">IFERROR(IF(VLOOKUP('Data Entry Form'!$CG68,tblData[],COLUMN(INDIRECT("tblData[[Day 2]]")),0)=0,"",VLOOKUP('Data Entry Form'!$CG68,tblData[],COLUMN(INDIRECT("tblData[[Day 2]]")),0)),"")</f>
        <v/>
      </c>
      <c r="H61" s="267" t="str">
        <f ca="1">IFERROR(IF(VLOOKUP('Data Entry Form'!$CG68,tblData[],COLUMN(INDIRECT("tblData[[Day 3]]")),0)=0,"",VLOOKUP('Data Entry Form'!$CG68,tblData[],COLUMN(INDIRECT("tblData[[Day 3]]")),0)),"")</f>
        <v/>
      </c>
      <c r="I61" s="267" t="str">
        <f ca="1">IFERROR(IF(VLOOKUP('Data Entry Form'!$CG68,tblData[],COLUMN(INDIRECT("tblData[[Day 4]]")),0)=0,"",VLOOKUP('Data Entry Form'!$CG68,tblData[],COLUMN(INDIRECT("tblData[[Day 4]]")),0)),"")</f>
        <v/>
      </c>
      <c r="J61" s="267" t="str">
        <f ca="1">IFERROR(IF(VLOOKUP('Data Entry Form'!$CG68,tblData[],COLUMN(INDIRECT("tblData[[Day 5]]")),0)=0,"",VLOOKUP('Data Entry Form'!$CG68,tblData[],COLUMN(INDIRECT("tblData[[Day 5]]")),0)),"")</f>
        <v/>
      </c>
      <c r="K61" s="267" t="str">
        <f ca="1">IFERROR(IF(VLOOKUP('Data Entry Form'!$CG68,tblData[],COLUMN(INDIRECT("tblData[[Day 6]]")),0)=0,"",VLOOKUP('Data Entry Form'!$CG68,tblData[],COLUMN(INDIRECT("tblData[[Day 6]]")),0)),"")</f>
        <v/>
      </c>
      <c r="L61" s="267" t="str">
        <f ca="1">IFERROR(IF(VLOOKUP('Data Entry Form'!$CG68,tblData[],COLUMN(INDIRECT("tblData[[Day 7]]")),0)=0,"",VLOOKUP('Data Entry Form'!$CG68,tblData[],COLUMN(INDIRECT("tblData[[Day 7]]")),0)),"")</f>
        <v/>
      </c>
      <c r="M61" s="267" t="str">
        <f ca="1">IFERROR(IF(VLOOKUP('Data Entry Form'!$CG68,tblData[],COLUMN(INDIRECT("tblData[[Day 8]]")),0)=0,"",VLOOKUP('Data Entry Form'!$CG68,tblData[],COLUMN(INDIRECT("tblData[[Day 8]]")),0)),"")</f>
        <v/>
      </c>
      <c r="N61" s="267" t="str">
        <f ca="1">IFERROR(IF(VLOOKUP('Data Entry Form'!$CG68,tblData[],COLUMN(INDIRECT("tblData[[Day 9]]")),0)=0,"",VLOOKUP('Data Entry Form'!$CG68,tblData[],COLUMN(INDIRECT("tblData[[Day 9]]")),0)),"")</f>
        <v/>
      </c>
    </row>
    <row r="62" spans="1:14" s="125" customFormat="1" ht="32.1" customHeight="1">
      <c r="A62" s="261" t="str">
        <f ca="1">IFERROR(VLOOKUP('Data Entry Form'!$CG69,tblData[],COLUMN(INDIRECT("tblData[[No]]")),0),"")</f>
        <v/>
      </c>
      <c r="B62" s="262" t="str">
        <f ca="1">IFERROR(VLOOKUP('Data Entry Form'!$CG69,tblData[],COLUMN(INDIRECT("tblData[[Surname]]")),0),"")</f>
        <v/>
      </c>
      <c r="C62" s="262" t="str">
        <f ca="1">IFERROR(VLOOKUP('Data Entry Form'!$CG69,tblData[],COLUMN(INDIRECT("tblData[[Given Name]]")),0),"")</f>
        <v/>
      </c>
      <c r="D62" s="262" t="str">
        <f ca="1">IFERROR(VLOOKUP('Data Entry Form'!$CG69,tblData[],COLUMN(INDIRECT("tblData[[Position]]")),0),"")</f>
        <v/>
      </c>
      <c r="E62" s="262" t="str">
        <f ca="1">IFERROR(VLOOKUP('Data Entry Form'!$CG69,tblData[],COLUMN(INDIRECT("tblData[[Gender]]")),0),"")</f>
        <v/>
      </c>
      <c r="F62" s="267" t="str">
        <f ca="1">IFERROR(IF(VLOOKUP('Data Entry Form'!$CG69,tblData[],COLUMN(INDIRECT("tblData[[Day 1]]")),0)=0,"",VLOOKUP('Data Entry Form'!$CG69,tblData[],COLUMN(INDIRECT("tblData[[Day 1]]")),0)),"")</f>
        <v/>
      </c>
      <c r="G62" s="267" t="str">
        <f ca="1">IFERROR(IF(VLOOKUP('Data Entry Form'!$CG69,tblData[],COLUMN(INDIRECT("tblData[[Day 2]]")),0)=0,"",VLOOKUP('Data Entry Form'!$CG69,tblData[],COLUMN(INDIRECT("tblData[[Day 2]]")),0)),"")</f>
        <v/>
      </c>
      <c r="H62" s="267" t="str">
        <f ca="1">IFERROR(IF(VLOOKUP('Data Entry Form'!$CG69,tblData[],COLUMN(INDIRECT("tblData[[Day 3]]")),0)=0,"",VLOOKUP('Data Entry Form'!$CG69,tblData[],COLUMN(INDIRECT("tblData[[Day 3]]")),0)),"")</f>
        <v/>
      </c>
      <c r="I62" s="267" t="str">
        <f ca="1">IFERROR(IF(VLOOKUP('Data Entry Form'!$CG69,tblData[],COLUMN(INDIRECT("tblData[[Day 4]]")),0)=0,"",VLOOKUP('Data Entry Form'!$CG69,tblData[],COLUMN(INDIRECT("tblData[[Day 4]]")),0)),"")</f>
        <v/>
      </c>
      <c r="J62" s="267" t="str">
        <f ca="1">IFERROR(IF(VLOOKUP('Data Entry Form'!$CG69,tblData[],COLUMN(INDIRECT("tblData[[Day 5]]")),0)=0,"",VLOOKUP('Data Entry Form'!$CG69,tblData[],COLUMN(INDIRECT("tblData[[Day 5]]")),0)),"")</f>
        <v/>
      </c>
      <c r="K62" s="267" t="str">
        <f ca="1">IFERROR(IF(VLOOKUP('Data Entry Form'!$CG69,tblData[],COLUMN(INDIRECT("tblData[[Day 6]]")),0)=0,"",VLOOKUP('Data Entry Form'!$CG69,tblData[],COLUMN(INDIRECT("tblData[[Day 6]]")),0)),"")</f>
        <v/>
      </c>
      <c r="L62" s="267" t="str">
        <f ca="1">IFERROR(IF(VLOOKUP('Data Entry Form'!$CG69,tblData[],COLUMN(INDIRECT("tblData[[Day 7]]")),0)=0,"",VLOOKUP('Data Entry Form'!$CG69,tblData[],COLUMN(INDIRECT("tblData[[Day 7]]")),0)),"")</f>
        <v/>
      </c>
      <c r="M62" s="267" t="str">
        <f ca="1">IFERROR(IF(VLOOKUP('Data Entry Form'!$CG69,tblData[],COLUMN(INDIRECT("tblData[[Day 8]]")),0)=0,"",VLOOKUP('Data Entry Form'!$CG69,tblData[],COLUMN(INDIRECT("tblData[[Day 8]]")),0)),"")</f>
        <v/>
      </c>
      <c r="N62" s="267" t="str">
        <f ca="1">IFERROR(IF(VLOOKUP('Data Entry Form'!$CG69,tblData[],COLUMN(INDIRECT("tblData[[Day 9]]")),0)=0,"",VLOOKUP('Data Entry Form'!$CG69,tblData[],COLUMN(INDIRECT("tblData[[Day 9]]")),0)),"")</f>
        <v/>
      </c>
    </row>
    <row r="63" spans="1:14" s="125" customFormat="1" ht="32.1" customHeight="1">
      <c r="A63" s="261" t="str">
        <f ca="1">IFERROR(VLOOKUP('Data Entry Form'!$CG70,tblData[],COLUMN(INDIRECT("tblData[[No]]")),0),"")</f>
        <v/>
      </c>
      <c r="B63" s="262" t="str">
        <f ca="1">IFERROR(VLOOKUP('Data Entry Form'!$CG70,tblData[],COLUMN(INDIRECT("tblData[[Surname]]")),0),"")</f>
        <v/>
      </c>
      <c r="C63" s="262" t="str">
        <f ca="1">IFERROR(VLOOKUP('Data Entry Form'!$CG70,tblData[],COLUMN(INDIRECT("tblData[[Given Name]]")),0),"")</f>
        <v/>
      </c>
      <c r="D63" s="262" t="str">
        <f ca="1">IFERROR(VLOOKUP('Data Entry Form'!$CG70,tblData[],COLUMN(INDIRECT("tblData[[Position]]")),0),"")</f>
        <v/>
      </c>
      <c r="E63" s="262" t="str">
        <f ca="1">IFERROR(VLOOKUP('Data Entry Form'!$CG70,tblData[],COLUMN(INDIRECT("tblData[[Gender]]")),0),"")</f>
        <v/>
      </c>
      <c r="F63" s="267" t="str">
        <f ca="1">IFERROR(IF(VLOOKUP('Data Entry Form'!$CG70,tblData[],COLUMN(INDIRECT("tblData[[Day 1]]")),0)=0,"",VLOOKUP('Data Entry Form'!$CG70,tblData[],COLUMN(INDIRECT("tblData[[Day 1]]")),0)),"")</f>
        <v/>
      </c>
      <c r="G63" s="267" t="str">
        <f ca="1">IFERROR(IF(VLOOKUP('Data Entry Form'!$CG70,tblData[],COLUMN(INDIRECT("tblData[[Day 2]]")),0)=0,"",VLOOKUP('Data Entry Form'!$CG70,tblData[],COLUMN(INDIRECT("tblData[[Day 2]]")),0)),"")</f>
        <v/>
      </c>
      <c r="H63" s="267" t="str">
        <f ca="1">IFERROR(IF(VLOOKUP('Data Entry Form'!$CG70,tblData[],COLUMN(INDIRECT("tblData[[Day 3]]")),0)=0,"",VLOOKUP('Data Entry Form'!$CG70,tblData[],COLUMN(INDIRECT("tblData[[Day 3]]")),0)),"")</f>
        <v/>
      </c>
      <c r="I63" s="267" t="str">
        <f ca="1">IFERROR(IF(VLOOKUP('Data Entry Form'!$CG70,tblData[],COLUMN(INDIRECT("tblData[[Day 4]]")),0)=0,"",VLOOKUP('Data Entry Form'!$CG70,tblData[],COLUMN(INDIRECT("tblData[[Day 4]]")),0)),"")</f>
        <v/>
      </c>
      <c r="J63" s="267" t="str">
        <f ca="1">IFERROR(IF(VLOOKUP('Data Entry Form'!$CG70,tblData[],COLUMN(INDIRECT("tblData[[Day 5]]")),0)=0,"",VLOOKUP('Data Entry Form'!$CG70,tblData[],COLUMN(INDIRECT("tblData[[Day 5]]")),0)),"")</f>
        <v/>
      </c>
      <c r="K63" s="267" t="str">
        <f ca="1">IFERROR(IF(VLOOKUP('Data Entry Form'!$CG70,tblData[],COLUMN(INDIRECT("tblData[[Day 6]]")),0)=0,"",VLOOKUP('Data Entry Form'!$CG70,tblData[],COLUMN(INDIRECT("tblData[[Day 6]]")),0)),"")</f>
        <v/>
      </c>
      <c r="L63" s="267" t="str">
        <f ca="1">IFERROR(IF(VLOOKUP('Data Entry Form'!$CG70,tblData[],COLUMN(INDIRECT("tblData[[Day 7]]")),0)=0,"",VLOOKUP('Data Entry Form'!$CG70,tblData[],COLUMN(INDIRECT("tblData[[Day 7]]")),0)),"")</f>
        <v/>
      </c>
      <c r="M63" s="267" t="str">
        <f ca="1">IFERROR(IF(VLOOKUP('Data Entry Form'!$CG70,tblData[],COLUMN(INDIRECT("tblData[[Day 8]]")),0)=0,"",VLOOKUP('Data Entry Form'!$CG70,tblData[],COLUMN(INDIRECT("tblData[[Day 8]]")),0)),"")</f>
        <v/>
      </c>
      <c r="N63" s="267" t="str">
        <f ca="1">IFERROR(IF(VLOOKUP('Data Entry Form'!$CG70,tblData[],COLUMN(INDIRECT("tblData[[Day 9]]")),0)=0,"",VLOOKUP('Data Entry Form'!$CG70,tblData[],COLUMN(INDIRECT("tblData[[Day 9]]")),0)),"")</f>
        <v/>
      </c>
    </row>
    <row r="64" spans="1:14" s="125" customFormat="1" ht="32.1" customHeight="1">
      <c r="A64" s="261" t="str">
        <f ca="1">IFERROR(VLOOKUP('Data Entry Form'!$CG71,tblData[],COLUMN(INDIRECT("tblData[[No]]")),0),"")</f>
        <v/>
      </c>
      <c r="B64" s="262" t="str">
        <f ca="1">IFERROR(VLOOKUP('Data Entry Form'!$CG71,tblData[],COLUMN(INDIRECT("tblData[[Surname]]")),0),"")</f>
        <v/>
      </c>
      <c r="C64" s="262" t="str">
        <f ca="1">IFERROR(VLOOKUP('Data Entry Form'!$CG71,tblData[],COLUMN(INDIRECT("tblData[[Given Name]]")),0),"")</f>
        <v/>
      </c>
      <c r="D64" s="262" t="str">
        <f ca="1">IFERROR(VLOOKUP('Data Entry Form'!$CG71,tblData[],COLUMN(INDIRECT("tblData[[Position]]")),0),"")</f>
        <v/>
      </c>
      <c r="E64" s="262" t="str">
        <f ca="1">IFERROR(VLOOKUP('Data Entry Form'!$CG71,tblData[],COLUMN(INDIRECT("tblData[[Gender]]")),0),"")</f>
        <v/>
      </c>
      <c r="F64" s="267" t="str">
        <f ca="1">IFERROR(IF(VLOOKUP('Data Entry Form'!$CG71,tblData[],COLUMN(INDIRECT("tblData[[Day 1]]")),0)=0,"",VLOOKUP('Data Entry Form'!$CG71,tblData[],COLUMN(INDIRECT("tblData[[Day 1]]")),0)),"")</f>
        <v/>
      </c>
      <c r="G64" s="267" t="str">
        <f ca="1">IFERROR(IF(VLOOKUP('Data Entry Form'!$CG71,tblData[],COLUMN(INDIRECT("tblData[[Day 2]]")),0)=0,"",VLOOKUP('Data Entry Form'!$CG71,tblData[],COLUMN(INDIRECT("tblData[[Day 2]]")),0)),"")</f>
        <v/>
      </c>
      <c r="H64" s="267" t="str">
        <f ca="1">IFERROR(IF(VLOOKUP('Data Entry Form'!$CG71,tblData[],COLUMN(INDIRECT("tblData[[Day 3]]")),0)=0,"",VLOOKUP('Data Entry Form'!$CG71,tblData[],COLUMN(INDIRECT("tblData[[Day 3]]")),0)),"")</f>
        <v/>
      </c>
      <c r="I64" s="267" t="str">
        <f ca="1">IFERROR(IF(VLOOKUP('Data Entry Form'!$CG71,tblData[],COLUMN(INDIRECT("tblData[[Day 4]]")),0)=0,"",VLOOKUP('Data Entry Form'!$CG71,tblData[],COLUMN(INDIRECT("tblData[[Day 4]]")),0)),"")</f>
        <v/>
      </c>
      <c r="J64" s="267" t="str">
        <f ca="1">IFERROR(IF(VLOOKUP('Data Entry Form'!$CG71,tblData[],COLUMN(INDIRECT("tblData[[Day 5]]")),0)=0,"",VLOOKUP('Data Entry Form'!$CG71,tblData[],COLUMN(INDIRECT("tblData[[Day 5]]")),0)),"")</f>
        <v/>
      </c>
      <c r="K64" s="267" t="str">
        <f ca="1">IFERROR(IF(VLOOKUP('Data Entry Form'!$CG71,tblData[],COLUMN(INDIRECT("tblData[[Day 6]]")),0)=0,"",VLOOKUP('Data Entry Form'!$CG71,tblData[],COLUMN(INDIRECT("tblData[[Day 6]]")),0)),"")</f>
        <v/>
      </c>
      <c r="L64" s="267" t="str">
        <f ca="1">IFERROR(IF(VLOOKUP('Data Entry Form'!$CG71,tblData[],COLUMN(INDIRECT("tblData[[Day 7]]")),0)=0,"",VLOOKUP('Data Entry Form'!$CG71,tblData[],COLUMN(INDIRECT("tblData[[Day 7]]")),0)),"")</f>
        <v/>
      </c>
      <c r="M64" s="267" t="str">
        <f ca="1">IFERROR(IF(VLOOKUP('Data Entry Form'!$CG71,tblData[],COLUMN(INDIRECT("tblData[[Day 8]]")),0)=0,"",VLOOKUP('Data Entry Form'!$CG71,tblData[],COLUMN(INDIRECT("tblData[[Day 8]]")),0)),"")</f>
        <v/>
      </c>
      <c r="N64" s="267" t="str">
        <f ca="1">IFERROR(IF(VLOOKUP('Data Entry Form'!$CG71,tblData[],COLUMN(INDIRECT("tblData[[Day 9]]")),0)=0,"",VLOOKUP('Data Entry Form'!$CG71,tblData[],COLUMN(INDIRECT("tblData[[Day 9]]")),0)),"")</f>
        <v/>
      </c>
    </row>
    <row r="65" spans="1:14" s="125" customFormat="1" ht="32.1" customHeight="1">
      <c r="A65" s="261" t="str">
        <f ca="1">IFERROR(VLOOKUP('Data Entry Form'!$CG72,tblData[],COLUMN(INDIRECT("tblData[[No]]")),0),"")</f>
        <v/>
      </c>
      <c r="B65" s="262" t="str">
        <f ca="1">IFERROR(VLOOKUP('Data Entry Form'!$CG72,tblData[],COLUMN(INDIRECT("tblData[[Surname]]")),0),"")</f>
        <v/>
      </c>
      <c r="C65" s="262" t="str">
        <f ca="1">IFERROR(VLOOKUP('Data Entry Form'!$CG72,tblData[],COLUMN(INDIRECT("tblData[[Given Name]]")),0),"")</f>
        <v/>
      </c>
      <c r="D65" s="262" t="str">
        <f ca="1">IFERROR(VLOOKUP('Data Entry Form'!$CG72,tblData[],COLUMN(INDIRECT("tblData[[Position]]")),0),"")</f>
        <v/>
      </c>
      <c r="E65" s="262" t="str">
        <f ca="1">IFERROR(VLOOKUP('Data Entry Form'!$CG72,tblData[],COLUMN(INDIRECT("tblData[[Gender]]")),0),"")</f>
        <v/>
      </c>
      <c r="F65" s="267" t="str">
        <f ca="1">IFERROR(IF(VLOOKUP('Data Entry Form'!$CG72,tblData[],COLUMN(INDIRECT("tblData[[Day 1]]")),0)=0,"",VLOOKUP('Data Entry Form'!$CG72,tblData[],COLUMN(INDIRECT("tblData[[Day 1]]")),0)),"")</f>
        <v/>
      </c>
      <c r="G65" s="267" t="str">
        <f ca="1">IFERROR(IF(VLOOKUP('Data Entry Form'!$CG72,tblData[],COLUMN(INDIRECT("tblData[[Day 2]]")),0)=0,"",VLOOKUP('Data Entry Form'!$CG72,tblData[],COLUMN(INDIRECT("tblData[[Day 2]]")),0)),"")</f>
        <v/>
      </c>
      <c r="H65" s="267" t="str">
        <f ca="1">IFERROR(IF(VLOOKUP('Data Entry Form'!$CG72,tblData[],COLUMN(INDIRECT("tblData[[Day 3]]")),0)=0,"",VLOOKUP('Data Entry Form'!$CG72,tblData[],COLUMN(INDIRECT("tblData[[Day 3]]")),0)),"")</f>
        <v/>
      </c>
      <c r="I65" s="267" t="str">
        <f ca="1">IFERROR(IF(VLOOKUP('Data Entry Form'!$CG72,tblData[],COLUMN(INDIRECT("tblData[[Day 4]]")),0)=0,"",VLOOKUP('Data Entry Form'!$CG72,tblData[],COLUMN(INDIRECT("tblData[[Day 4]]")),0)),"")</f>
        <v/>
      </c>
      <c r="J65" s="267" t="str">
        <f ca="1">IFERROR(IF(VLOOKUP('Data Entry Form'!$CG72,tblData[],COLUMN(INDIRECT("tblData[[Day 5]]")),0)=0,"",VLOOKUP('Data Entry Form'!$CG72,tblData[],COLUMN(INDIRECT("tblData[[Day 5]]")),0)),"")</f>
        <v/>
      </c>
      <c r="K65" s="267" t="str">
        <f ca="1">IFERROR(IF(VLOOKUP('Data Entry Form'!$CG72,tblData[],COLUMN(INDIRECT("tblData[[Day 6]]")),0)=0,"",VLOOKUP('Data Entry Form'!$CG72,tblData[],COLUMN(INDIRECT("tblData[[Day 6]]")),0)),"")</f>
        <v/>
      </c>
      <c r="L65" s="267" t="str">
        <f ca="1">IFERROR(IF(VLOOKUP('Data Entry Form'!$CG72,tblData[],COLUMN(INDIRECT("tblData[[Day 7]]")),0)=0,"",VLOOKUP('Data Entry Form'!$CG72,tblData[],COLUMN(INDIRECT("tblData[[Day 7]]")),0)),"")</f>
        <v/>
      </c>
      <c r="M65" s="267" t="str">
        <f ca="1">IFERROR(IF(VLOOKUP('Data Entry Form'!$CG72,tblData[],COLUMN(INDIRECT("tblData[[Day 8]]")),0)=0,"",VLOOKUP('Data Entry Form'!$CG72,tblData[],COLUMN(INDIRECT("tblData[[Day 8]]")),0)),"")</f>
        <v/>
      </c>
      <c r="N65" s="267" t="str">
        <f ca="1">IFERROR(IF(VLOOKUP('Data Entry Form'!$CG72,tblData[],COLUMN(INDIRECT("tblData[[Day 9]]")),0)=0,"",VLOOKUP('Data Entry Form'!$CG72,tblData[],COLUMN(INDIRECT("tblData[[Day 9]]")),0)),"")</f>
        <v/>
      </c>
    </row>
    <row r="66" spans="1:14" s="125" customFormat="1" ht="32.1" customHeight="1">
      <c r="A66" s="261" t="str">
        <f ca="1">IFERROR(VLOOKUP('Data Entry Form'!$CG73,tblData[],COLUMN(INDIRECT("tblData[[No]]")),0),"")</f>
        <v/>
      </c>
      <c r="B66" s="262" t="str">
        <f ca="1">IFERROR(VLOOKUP('Data Entry Form'!$CG73,tblData[],COLUMN(INDIRECT("tblData[[Surname]]")),0),"")</f>
        <v/>
      </c>
      <c r="C66" s="262" t="str">
        <f ca="1">IFERROR(VLOOKUP('Data Entry Form'!$CG73,tblData[],COLUMN(INDIRECT("tblData[[Given Name]]")),0),"")</f>
        <v/>
      </c>
      <c r="D66" s="262" t="str">
        <f ca="1">IFERROR(VLOOKUP('Data Entry Form'!$CG73,tblData[],COLUMN(INDIRECT("tblData[[Position]]")),0),"")</f>
        <v/>
      </c>
      <c r="E66" s="262" t="str">
        <f ca="1">IFERROR(VLOOKUP('Data Entry Form'!$CG73,tblData[],COLUMN(INDIRECT("tblData[[Gender]]")),0),"")</f>
        <v/>
      </c>
      <c r="F66" s="267" t="str">
        <f ca="1">IFERROR(IF(VLOOKUP('Data Entry Form'!$CG73,tblData[],COLUMN(INDIRECT("tblData[[Day 1]]")),0)=0,"",VLOOKUP('Data Entry Form'!$CG73,tblData[],COLUMN(INDIRECT("tblData[[Day 1]]")),0)),"")</f>
        <v/>
      </c>
      <c r="G66" s="267" t="str">
        <f ca="1">IFERROR(IF(VLOOKUP('Data Entry Form'!$CG73,tblData[],COLUMN(INDIRECT("tblData[[Day 2]]")),0)=0,"",VLOOKUP('Data Entry Form'!$CG73,tblData[],COLUMN(INDIRECT("tblData[[Day 2]]")),0)),"")</f>
        <v/>
      </c>
      <c r="H66" s="267" t="str">
        <f ca="1">IFERROR(IF(VLOOKUP('Data Entry Form'!$CG73,tblData[],COLUMN(INDIRECT("tblData[[Day 3]]")),0)=0,"",VLOOKUP('Data Entry Form'!$CG73,tblData[],COLUMN(INDIRECT("tblData[[Day 3]]")),0)),"")</f>
        <v/>
      </c>
      <c r="I66" s="267" t="str">
        <f ca="1">IFERROR(IF(VLOOKUP('Data Entry Form'!$CG73,tblData[],COLUMN(INDIRECT("tblData[[Day 4]]")),0)=0,"",VLOOKUP('Data Entry Form'!$CG73,tblData[],COLUMN(INDIRECT("tblData[[Day 4]]")),0)),"")</f>
        <v/>
      </c>
      <c r="J66" s="267" t="str">
        <f ca="1">IFERROR(IF(VLOOKUP('Data Entry Form'!$CG73,tblData[],COLUMN(INDIRECT("tblData[[Day 5]]")),0)=0,"",VLOOKUP('Data Entry Form'!$CG73,tblData[],COLUMN(INDIRECT("tblData[[Day 5]]")),0)),"")</f>
        <v/>
      </c>
      <c r="K66" s="267" t="str">
        <f ca="1">IFERROR(IF(VLOOKUP('Data Entry Form'!$CG73,tblData[],COLUMN(INDIRECT("tblData[[Day 6]]")),0)=0,"",VLOOKUP('Data Entry Form'!$CG73,tblData[],COLUMN(INDIRECT("tblData[[Day 6]]")),0)),"")</f>
        <v/>
      </c>
      <c r="L66" s="267" t="str">
        <f ca="1">IFERROR(IF(VLOOKUP('Data Entry Form'!$CG73,tblData[],COLUMN(INDIRECT("tblData[[Day 7]]")),0)=0,"",VLOOKUP('Data Entry Form'!$CG73,tblData[],COLUMN(INDIRECT("tblData[[Day 7]]")),0)),"")</f>
        <v/>
      </c>
      <c r="M66" s="267" t="str">
        <f ca="1">IFERROR(IF(VLOOKUP('Data Entry Form'!$CG73,tblData[],COLUMN(INDIRECT("tblData[[Day 8]]")),0)=0,"",VLOOKUP('Data Entry Form'!$CG73,tblData[],COLUMN(INDIRECT("tblData[[Day 8]]")),0)),"")</f>
        <v/>
      </c>
      <c r="N66" s="267" t="str">
        <f ca="1">IFERROR(IF(VLOOKUP('Data Entry Form'!$CG73,tblData[],COLUMN(INDIRECT("tblData[[Day 9]]")),0)=0,"",VLOOKUP('Data Entry Form'!$CG73,tblData[],COLUMN(INDIRECT("tblData[[Day 9]]")),0)),"")</f>
        <v/>
      </c>
    </row>
    <row r="67" spans="1:14" s="125" customFormat="1" ht="32.1" customHeight="1">
      <c r="A67" s="261" t="str">
        <f ca="1">IFERROR(VLOOKUP('Data Entry Form'!$CG74,tblData[],COLUMN(INDIRECT("tblData[[No]]")),0),"")</f>
        <v/>
      </c>
      <c r="B67" s="262" t="str">
        <f ca="1">IFERROR(VLOOKUP('Data Entry Form'!$CG74,tblData[],COLUMN(INDIRECT("tblData[[Surname]]")),0),"")</f>
        <v/>
      </c>
      <c r="C67" s="262" t="str">
        <f ca="1">IFERROR(VLOOKUP('Data Entry Form'!$CG74,tblData[],COLUMN(INDIRECT("tblData[[Given Name]]")),0),"")</f>
        <v/>
      </c>
      <c r="D67" s="262" t="str">
        <f ca="1">IFERROR(VLOOKUP('Data Entry Form'!$CG74,tblData[],COLUMN(INDIRECT("tblData[[Position]]")),0),"")</f>
        <v/>
      </c>
      <c r="E67" s="262" t="str">
        <f ca="1">IFERROR(VLOOKUP('Data Entry Form'!$CG74,tblData[],COLUMN(INDIRECT("tblData[[Gender]]")),0),"")</f>
        <v/>
      </c>
      <c r="F67" s="267" t="str">
        <f ca="1">IFERROR(IF(VLOOKUP('Data Entry Form'!$CG74,tblData[],COLUMN(INDIRECT("tblData[[Day 1]]")),0)=0,"",VLOOKUP('Data Entry Form'!$CG74,tblData[],COLUMN(INDIRECT("tblData[[Day 1]]")),0)),"")</f>
        <v/>
      </c>
      <c r="G67" s="267" t="str">
        <f ca="1">IFERROR(IF(VLOOKUP('Data Entry Form'!$CG74,tblData[],COLUMN(INDIRECT("tblData[[Day 2]]")),0)=0,"",VLOOKUP('Data Entry Form'!$CG74,tblData[],COLUMN(INDIRECT("tblData[[Day 2]]")),0)),"")</f>
        <v/>
      </c>
      <c r="H67" s="267" t="str">
        <f ca="1">IFERROR(IF(VLOOKUP('Data Entry Form'!$CG74,tblData[],COLUMN(INDIRECT("tblData[[Day 3]]")),0)=0,"",VLOOKUP('Data Entry Form'!$CG74,tblData[],COLUMN(INDIRECT("tblData[[Day 3]]")),0)),"")</f>
        <v/>
      </c>
      <c r="I67" s="267" t="str">
        <f ca="1">IFERROR(IF(VLOOKUP('Data Entry Form'!$CG74,tblData[],COLUMN(INDIRECT("tblData[[Day 4]]")),0)=0,"",VLOOKUP('Data Entry Form'!$CG74,tblData[],COLUMN(INDIRECT("tblData[[Day 4]]")),0)),"")</f>
        <v/>
      </c>
      <c r="J67" s="267" t="str">
        <f ca="1">IFERROR(IF(VLOOKUP('Data Entry Form'!$CG74,tblData[],COLUMN(INDIRECT("tblData[[Day 5]]")),0)=0,"",VLOOKUP('Data Entry Form'!$CG74,tblData[],COLUMN(INDIRECT("tblData[[Day 5]]")),0)),"")</f>
        <v/>
      </c>
      <c r="K67" s="267" t="str">
        <f ca="1">IFERROR(IF(VLOOKUP('Data Entry Form'!$CG74,tblData[],COLUMN(INDIRECT("tblData[[Day 6]]")),0)=0,"",VLOOKUP('Data Entry Form'!$CG74,tblData[],COLUMN(INDIRECT("tblData[[Day 6]]")),0)),"")</f>
        <v/>
      </c>
      <c r="L67" s="267" t="str">
        <f ca="1">IFERROR(IF(VLOOKUP('Data Entry Form'!$CG74,tblData[],COLUMN(INDIRECT("tblData[[Day 7]]")),0)=0,"",VLOOKUP('Data Entry Form'!$CG74,tblData[],COLUMN(INDIRECT("tblData[[Day 7]]")),0)),"")</f>
        <v/>
      </c>
      <c r="M67" s="267" t="str">
        <f ca="1">IFERROR(IF(VLOOKUP('Data Entry Form'!$CG74,tblData[],COLUMN(INDIRECT("tblData[[Day 8]]")),0)=0,"",VLOOKUP('Data Entry Form'!$CG74,tblData[],COLUMN(INDIRECT("tblData[[Day 8]]")),0)),"")</f>
        <v/>
      </c>
      <c r="N67" s="267" t="str">
        <f ca="1">IFERROR(IF(VLOOKUP('Data Entry Form'!$CG74,tblData[],COLUMN(INDIRECT("tblData[[Day 9]]")),0)=0,"",VLOOKUP('Data Entry Form'!$CG74,tblData[],COLUMN(INDIRECT("tblData[[Day 9]]")),0)),"")</f>
        <v/>
      </c>
    </row>
    <row r="68" spans="1:14" s="125" customFormat="1" ht="32.1" customHeight="1">
      <c r="A68" s="261" t="str">
        <f ca="1">IFERROR(VLOOKUP('Data Entry Form'!$CG75,tblData[],COLUMN(INDIRECT("tblData[[No]]")),0),"")</f>
        <v/>
      </c>
      <c r="B68" s="262" t="str">
        <f ca="1">IFERROR(VLOOKUP('Data Entry Form'!$CG75,tblData[],COLUMN(INDIRECT("tblData[[Surname]]")),0),"")</f>
        <v/>
      </c>
      <c r="C68" s="262" t="str">
        <f ca="1">IFERROR(VLOOKUP('Data Entry Form'!$CG75,tblData[],COLUMN(INDIRECT("tblData[[Given Name]]")),0),"")</f>
        <v/>
      </c>
      <c r="D68" s="262" t="str">
        <f ca="1">IFERROR(VLOOKUP('Data Entry Form'!$CG75,tblData[],COLUMN(INDIRECT("tblData[[Position]]")),0),"")</f>
        <v/>
      </c>
      <c r="E68" s="262" t="str">
        <f ca="1">IFERROR(VLOOKUP('Data Entry Form'!$CG75,tblData[],COLUMN(INDIRECT("tblData[[Gender]]")),0),"")</f>
        <v/>
      </c>
      <c r="F68" s="267" t="str">
        <f ca="1">IFERROR(IF(VLOOKUP('Data Entry Form'!$CG75,tblData[],COLUMN(INDIRECT("tblData[[Day 1]]")),0)=0,"",VLOOKUP('Data Entry Form'!$CG75,tblData[],COLUMN(INDIRECT("tblData[[Day 1]]")),0)),"")</f>
        <v/>
      </c>
      <c r="G68" s="267" t="str">
        <f ca="1">IFERROR(IF(VLOOKUP('Data Entry Form'!$CG75,tblData[],COLUMN(INDIRECT("tblData[[Day 2]]")),0)=0,"",VLOOKUP('Data Entry Form'!$CG75,tblData[],COLUMN(INDIRECT("tblData[[Day 2]]")),0)),"")</f>
        <v/>
      </c>
      <c r="H68" s="267" t="str">
        <f ca="1">IFERROR(IF(VLOOKUP('Data Entry Form'!$CG75,tblData[],COLUMN(INDIRECT("tblData[[Day 3]]")),0)=0,"",VLOOKUP('Data Entry Form'!$CG75,tblData[],COLUMN(INDIRECT("tblData[[Day 3]]")),0)),"")</f>
        <v/>
      </c>
      <c r="I68" s="267" t="str">
        <f ca="1">IFERROR(IF(VLOOKUP('Data Entry Form'!$CG75,tblData[],COLUMN(INDIRECT("tblData[[Day 4]]")),0)=0,"",VLOOKUP('Data Entry Form'!$CG75,tblData[],COLUMN(INDIRECT("tblData[[Day 4]]")),0)),"")</f>
        <v/>
      </c>
      <c r="J68" s="267" t="str">
        <f ca="1">IFERROR(IF(VLOOKUP('Data Entry Form'!$CG75,tblData[],COLUMN(INDIRECT("tblData[[Day 5]]")),0)=0,"",VLOOKUP('Data Entry Form'!$CG75,tblData[],COLUMN(INDIRECT("tblData[[Day 5]]")),0)),"")</f>
        <v/>
      </c>
      <c r="K68" s="267" t="str">
        <f ca="1">IFERROR(IF(VLOOKUP('Data Entry Form'!$CG75,tblData[],COLUMN(INDIRECT("tblData[[Day 6]]")),0)=0,"",VLOOKUP('Data Entry Form'!$CG75,tblData[],COLUMN(INDIRECT("tblData[[Day 6]]")),0)),"")</f>
        <v/>
      </c>
      <c r="L68" s="267" t="str">
        <f ca="1">IFERROR(IF(VLOOKUP('Data Entry Form'!$CG75,tblData[],COLUMN(INDIRECT("tblData[[Day 7]]")),0)=0,"",VLOOKUP('Data Entry Form'!$CG75,tblData[],COLUMN(INDIRECT("tblData[[Day 7]]")),0)),"")</f>
        <v/>
      </c>
      <c r="M68" s="267" t="str">
        <f ca="1">IFERROR(IF(VLOOKUP('Data Entry Form'!$CG75,tblData[],COLUMN(INDIRECT("tblData[[Day 8]]")),0)=0,"",VLOOKUP('Data Entry Form'!$CG75,tblData[],COLUMN(INDIRECT("tblData[[Day 8]]")),0)),"")</f>
        <v/>
      </c>
      <c r="N68" s="267" t="str">
        <f ca="1">IFERROR(IF(VLOOKUP('Data Entry Form'!$CG75,tblData[],COLUMN(INDIRECT("tblData[[Day 9]]")),0)=0,"",VLOOKUP('Data Entry Form'!$CG75,tblData[],COLUMN(INDIRECT("tblData[[Day 9]]")),0)),"")</f>
        <v/>
      </c>
    </row>
    <row r="69" spans="1:14" s="125" customFormat="1" ht="32.1" customHeight="1">
      <c r="A69" s="261" t="str">
        <f ca="1">IFERROR(VLOOKUP('Data Entry Form'!$CG76,tblData[],COLUMN(INDIRECT("tblData[[No]]")),0),"")</f>
        <v/>
      </c>
      <c r="B69" s="262" t="str">
        <f ca="1">IFERROR(VLOOKUP('Data Entry Form'!$CG76,tblData[],COLUMN(INDIRECT("tblData[[Surname]]")),0),"")</f>
        <v/>
      </c>
      <c r="C69" s="262" t="str">
        <f ca="1">IFERROR(VLOOKUP('Data Entry Form'!$CG76,tblData[],COLUMN(INDIRECT("tblData[[Given Name]]")),0),"")</f>
        <v/>
      </c>
      <c r="D69" s="262" t="str">
        <f ca="1">IFERROR(VLOOKUP('Data Entry Form'!$CG76,tblData[],COLUMN(INDIRECT("tblData[[Position]]")),0),"")</f>
        <v/>
      </c>
      <c r="E69" s="262" t="str">
        <f ca="1">IFERROR(VLOOKUP('Data Entry Form'!$CG76,tblData[],COLUMN(INDIRECT("tblData[[Gender]]")),0),"")</f>
        <v/>
      </c>
      <c r="F69" s="267" t="str">
        <f ca="1">IFERROR(IF(VLOOKUP('Data Entry Form'!$CG76,tblData[],COLUMN(INDIRECT("tblData[[Day 1]]")),0)=0,"",VLOOKUP('Data Entry Form'!$CG76,tblData[],COLUMN(INDIRECT("tblData[[Day 1]]")),0)),"")</f>
        <v/>
      </c>
      <c r="G69" s="267" t="str">
        <f ca="1">IFERROR(IF(VLOOKUP('Data Entry Form'!$CG76,tblData[],COLUMN(INDIRECT("tblData[[Day 2]]")),0)=0,"",VLOOKUP('Data Entry Form'!$CG76,tblData[],COLUMN(INDIRECT("tblData[[Day 2]]")),0)),"")</f>
        <v/>
      </c>
      <c r="H69" s="267" t="str">
        <f ca="1">IFERROR(IF(VLOOKUP('Data Entry Form'!$CG76,tblData[],COLUMN(INDIRECT("tblData[[Day 3]]")),0)=0,"",VLOOKUP('Data Entry Form'!$CG76,tblData[],COLUMN(INDIRECT("tblData[[Day 3]]")),0)),"")</f>
        <v/>
      </c>
      <c r="I69" s="267" t="str">
        <f ca="1">IFERROR(IF(VLOOKUP('Data Entry Form'!$CG76,tblData[],COLUMN(INDIRECT("tblData[[Day 4]]")),0)=0,"",VLOOKUP('Data Entry Form'!$CG76,tblData[],COLUMN(INDIRECT("tblData[[Day 4]]")),0)),"")</f>
        <v/>
      </c>
      <c r="J69" s="267" t="str">
        <f ca="1">IFERROR(IF(VLOOKUP('Data Entry Form'!$CG76,tblData[],COLUMN(INDIRECT("tblData[[Day 5]]")),0)=0,"",VLOOKUP('Data Entry Form'!$CG76,tblData[],COLUMN(INDIRECT("tblData[[Day 5]]")),0)),"")</f>
        <v/>
      </c>
      <c r="K69" s="267" t="str">
        <f ca="1">IFERROR(IF(VLOOKUP('Data Entry Form'!$CG76,tblData[],COLUMN(INDIRECT("tblData[[Day 6]]")),0)=0,"",VLOOKUP('Data Entry Form'!$CG76,tblData[],COLUMN(INDIRECT("tblData[[Day 6]]")),0)),"")</f>
        <v/>
      </c>
      <c r="L69" s="267" t="str">
        <f ca="1">IFERROR(IF(VLOOKUP('Data Entry Form'!$CG76,tblData[],COLUMN(INDIRECT("tblData[[Day 7]]")),0)=0,"",VLOOKUP('Data Entry Form'!$CG76,tblData[],COLUMN(INDIRECT("tblData[[Day 7]]")),0)),"")</f>
        <v/>
      </c>
      <c r="M69" s="267" t="str">
        <f ca="1">IFERROR(IF(VLOOKUP('Data Entry Form'!$CG76,tblData[],COLUMN(INDIRECT("tblData[[Day 8]]")),0)=0,"",VLOOKUP('Data Entry Form'!$CG76,tblData[],COLUMN(INDIRECT("tblData[[Day 8]]")),0)),"")</f>
        <v/>
      </c>
      <c r="N69" s="267" t="str">
        <f ca="1">IFERROR(IF(VLOOKUP('Data Entry Form'!$CG76,tblData[],COLUMN(INDIRECT("tblData[[Day 9]]")),0)=0,"",VLOOKUP('Data Entry Form'!$CG76,tblData[],COLUMN(INDIRECT("tblData[[Day 9]]")),0)),"")</f>
        <v/>
      </c>
    </row>
    <row r="70" spans="1:14" s="125" customFormat="1" ht="32.1" customHeight="1">
      <c r="A70" s="261" t="str">
        <f ca="1">IFERROR(VLOOKUP('Data Entry Form'!$CG77,tblData[],COLUMN(INDIRECT("tblData[[No]]")),0),"")</f>
        <v/>
      </c>
      <c r="B70" s="262" t="str">
        <f ca="1">IFERROR(VLOOKUP('Data Entry Form'!$CG77,tblData[],COLUMN(INDIRECT("tblData[[Surname]]")),0),"")</f>
        <v/>
      </c>
      <c r="C70" s="262" t="str">
        <f ca="1">IFERROR(VLOOKUP('Data Entry Form'!$CG77,tblData[],COLUMN(INDIRECT("tblData[[Given Name]]")),0),"")</f>
        <v/>
      </c>
      <c r="D70" s="262" t="str">
        <f ca="1">IFERROR(VLOOKUP('Data Entry Form'!$CG77,tblData[],COLUMN(INDIRECT("tblData[[Position]]")),0),"")</f>
        <v/>
      </c>
      <c r="E70" s="262" t="str">
        <f ca="1">IFERROR(VLOOKUP('Data Entry Form'!$CG77,tblData[],COLUMN(INDIRECT("tblData[[Gender]]")),0),"")</f>
        <v/>
      </c>
      <c r="F70" s="267" t="str">
        <f ca="1">IFERROR(IF(VLOOKUP('Data Entry Form'!$CG77,tblData[],COLUMN(INDIRECT("tblData[[Day 1]]")),0)=0,"",VLOOKUP('Data Entry Form'!$CG77,tblData[],COLUMN(INDIRECT("tblData[[Day 1]]")),0)),"")</f>
        <v/>
      </c>
      <c r="G70" s="267" t="str">
        <f ca="1">IFERROR(IF(VLOOKUP('Data Entry Form'!$CG77,tblData[],COLUMN(INDIRECT("tblData[[Day 2]]")),0)=0,"",VLOOKUP('Data Entry Form'!$CG77,tblData[],COLUMN(INDIRECT("tblData[[Day 2]]")),0)),"")</f>
        <v/>
      </c>
      <c r="H70" s="267" t="str">
        <f ca="1">IFERROR(IF(VLOOKUP('Data Entry Form'!$CG77,tblData[],COLUMN(INDIRECT("tblData[[Day 3]]")),0)=0,"",VLOOKUP('Data Entry Form'!$CG77,tblData[],COLUMN(INDIRECT("tblData[[Day 3]]")),0)),"")</f>
        <v/>
      </c>
      <c r="I70" s="267" t="str">
        <f ca="1">IFERROR(IF(VLOOKUP('Data Entry Form'!$CG77,tblData[],COLUMN(INDIRECT("tblData[[Day 4]]")),0)=0,"",VLOOKUP('Data Entry Form'!$CG77,tblData[],COLUMN(INDIRECT("tblData[[Day 4]]")),0)),"")</f>
        <v/>
      </c>
      <c r="J70" s="267" t="str">
        <f ca="1">IFERROR(IF(VLOOKUP('Data Entry Form'!$CG77,tblData[],COLUMN(INDIRECT("tblData[[Day 5]]")),0)=0,"",VLOOKUP('Data Entry Form'!$CG77,tblData[],COLUMN(INDIRECT("tblData[[Day 5]]")),0)),"")</f>
        <v/>
      </c>
      <c r="K70" s="267" t="str">
        <f ca="1">IFERROR(IF(VLOOKUP('Data Entry Form'!$CG77,tblData[],COLUMN(INDIRECT("tblData[[Day 6]]")),0)=0,"",VLOOKUP('Data Entry Form'!$CG77,tblData[],COLUMN(INDIRECT("tblData[[Day 6]]")),0)),"")</f>
        <v/>
      </c>
      <c r="L70" s="267" t="str">
        <f ca="1">IFERROR(IF(VLOOKUP('Data Entry Form'!$CG77,tblData[],COLUMN(INDIRECT("tblData[[Day 7]]")),0)=0,"",VLOOKUP('Data Entry Form'!$CG77,tblData[],COLUMN(INDIRECT("tblData[[Day 7]]")),0)),"")</f>
        <v/>
      </c>
      <c r="M70" s="267" t="str">
        <f ca="1">IFERROR(IF(VLOOKUP('Data Entry Form'!$CG77,tblData[],COLUMN(INDIRECT("tblData[[Day 8]]")),0)=0,"",VLOOKUP('Data Entry Form'!$CG77,tblData[],COLUMN(INDIRECT("tblData[[Day 8]]")),0)),"")</f>
        <v/>
      </c>
      <c r="N70" s="267" t="str">
        <f ca="1">IFERROR(IF(VLOOKUP('Data Entry Form'!$CG77,tblData[],COLUMN(INDIRECT("tblData[[Day 9]]")),0)=0,"",VLOOKUP('Data Entry Form'!$CG77,tblData[],COLUMN(INDIRECT("tblData[[Day 9]]")),0)),"")</f>
        <v/>
      </c>
    </row>
    <row r="71" spans="1:14" s="125" customFormat="1" ht="32.1" customHeight="1">
      <c r="A71" s="261" t="str">
        <f ca="1">IFERROR(VLOOKUP('Data Entry Form'!$CG78,tblData[],COLUMN(INDIRECT("tblData[[No]]")),0),"")</f>
        <v/>
      </c>
      <c r="B71" s="262" t="str">
        <f ca="1">IFERROR(VLOOKUP('Data Entry Form'!$CG78,tblData[],COLUMN(INDIRECT("tblData[[Surname]]")),0),"")</f>
        <v/>
      </c>
      <c r="C71" s="262" t="str">
        <f ca="1">IFERROR(VLOOKUP('Data Entry Form'!$CG78,tblData[],COLUMN(INDIRECT("tblData[[Given Name]]")),0),"")</f>
        <v/>
      </c>
      <c r="D71" s="262" t="str">
        <f ca="1">IFERROR(VLOOKUP('Data Entry Form'!$CG78,tblData[],COLUMN(INDIRECT("tblData[[Position]]")),0),"")</f>
        <v/>
      </c>
      <c r="E71" s="262" t="str">
        <f ca="1">IFERROR(VLOOKUP('Data Entry Form'!$CG78,tblData[],COLUMN(INDIRECT("tblData[[Gender]]")),0),"")</f>
        <v/>
      </c>
      <c r="F71" s="267" t="str">
        <f ca="1">IFERROR(IF(VLOOKUP('Data Entry Form'!$CG78,tblData[],COLUMN(INDIRECT("tblData[[Day 1]]")),0)=0,"",VLOOKUP('Data Entry Form'!$CG78,tblData[],COLUMN(INDIRECT("tblData[[Day 1]]")),0)),"")</f>
        <v/>
      </c>
      <c r="G71" s="267" t="str">
        <f ca="1">IFERROR(IF(VLOOKUP('Data Entry Form'!$CG78,tblData[],COLUMN(INDIRECT("tblData[[Day 2]]")),0)=0,"",VLOOKUP('Data Entry Form'!$CG78,tblData[],COLUMN(INDIRECT("tblData[[Day 2]]")),0)),"")</f>
        <v/>
      </c>
      <c r="H71" s="267" t="str">
        <f ca="1">IFERROR(IF(VLOOKUP('Data Entry Form'!$CG78,tblData[],COLUMN(INDIRECT("tblData[[Day 3]]")),0)=0,"",VLOOKUP('Data Entry Form'!$CG78,tblData[],COLUMN(INDIRECT("tblData[[Day 3]]")),0)),"")</f>
        <v/>
      </c>
      <c r="I71" s="267" t="str">
        <f ca="1">IFERROR(IF(VLOOKUP('Data Entry Form'!$CG78,tblData[],COLUMN(INDIRECT("tblData[[Day 4]]")),0)=0,"",VLOOKUP('Data Entry Form'!$CG78,tblData[],COLUMN(INDIRECT("tblData[[Day 4]]")),0)),"")</f>
        <v/>
      </c>
      <c r="J71" s="267" t="str">
        <f ca="1">IFERROR(IF(VLOOKUP('Data Entry Form'!$CG78,tblData[],COLUMN(INDIRECT("tblData[[Day 5]]")),0)=0,"",VLOOKUP('Data Entry Form'!$CG78,tblData[],COLUMN(INDIRECT("tblData[[Day 5]]")),0)),"")</f>
        <v/>
      </c>
      <c r="K71" s="267" t="str">
        <f ca="1">IFERROR(IF(VLOOKUP('Data Entry Form'!$CG78,tblData[],COLUMN(INDIRECT("tblData[[Day 6]]")),0)=0,"",VLOOKUP('Data Entry Form'!$CG78,tblData[],COLUMN(INDIRECT("tblData[[Day 6]]")),0)),"")</f>
        <v/>
      </c>
      <c r="L71" s="267" t="str">
        <f ca="1">IFERROR(IF(VLOOKUP('Data Entry Form'!$CG78,tblData[],COLUMN(INDIRECT("tblData[[Day 7]]")),0)=0,"",VLOOKUP('Data Entry Form'!$CG78,tblData[],COLUMN(INDIRECT("tblData[[Day 7]]")),0)),"")</f>
        <v/>
      </c>
      <c r="M71" s="267" t="str">
        <f ca="1">IFERROR(IF(VLOOKUP('Data Entry Form'!$CG78,tblData[],COLUMN(INDIRECT("tblData[[Day 8]]")),0)=0,"",VLOOKUP('Data Entry Form'!$CG78,tblData[],COLUMN(INDIRECT("tblData[[Day 8]]")),0)),"")</f>
        <v/>
      </c>
      <c r="N71" s="267" t="str">
        <f ca="1">IFERROR(IF(VLOOKUP('Data Entry Form'!$CG78,tblData[],COLUMN(INDIRECT("tblData[[Day 9]]")),0)=0,"",VLOOKUP('Data Entry Form'!$CG78,tblData[],COLUMN(INDIRECT("tblData[[Day 9]]")),0)),"")</f>
        <v/>
      </c>
    </row>
    <row r="72" spans="1:14" s="125" customFormat="1" ht="32.1" customHeight="1">
      <c r="A72" s="261" t="str">
        <f ca="1">IFERROR(VLOOKUP('Data Entry Form'!$CG79,tblData[],COLUMN(INDIRECT("tblData[[No]]")),0),"")</f>
        <v/>
      </c>
      <c r="B72" s="262" t="str">
        <f ca="1">IFERROR(VLOOKUP('Data Entry Form'!$CG79,tblData[],COLUMN(INDIRECT("tblData[[Surname]]")),0),"")</f>
        <v/>
      </c>
      <c r="C72" s="262" t="str">
        <f ca="1">IFERROR(VLOOKUP('Data Entry Form'!$CG79,tblData[],COLUMN(INDIRECT("tblData[[Given Name]]")),0),"")</f>
        <v/>
      </c>
      <c r="D72" s="262" t="str">
        <f ca="1">IFERROR(VLOOKUP('Data Entry Form'!$CG79,tblData[],COLUMN(INDIRECT("tblData[[Position]]")),0),"")</f>
        <v/>
      </c>
      <c r="E72" s="262" t="str">
        <f ca="1">IFERROR(VLOOKUP('Data Entry Form'!$CG79,tblData[],COLUMN(INDIRECT("tblData[[Gender]]")),0),"")</f>
        <v/>
      </c>
      <c r="F72" s="267" t="str">
        <f ca="1">IFERROR(IF(VLOOKUP('Data Entry Form'!$CG79,tblData[],COLUMN(INDIRECT("tblData[[Day 1]]")),0)=0,"",VLOOKUP('Data Entry Form'!$CG79,tblData[],COLUMN(INDIRECT("tblData[[Day 1]]")),0)),"")</f>
        <v/>
      </c>
      <c r="G72" s="267" t="str">
        <f ca="1">IFERROR(IF(VLOOKUP('Data Entry Form'!$CG79,tblData[],COLUMN(INDIRECT("tblData[[Day 2]]")),0)=0,"",VLOOKUP('Data Entry Form'!$CG79,tblData[],COLUMN(INDIRECT("tblData[[Day 2]]")),0)),"")</f>
        <v/>
      </c>
      <c r="H72" s="267" t="str">
        <f ca="1">IFERROR(IF(VLOOKUP('Data Entry Form'!$CG79,tblData[],COLUMN(INDIRECT("tblData[[Day 3]]")),0)=0,"",VLOOKUP('Data Entry Form'!$CG79,tblData[],COLUMN(INDIRECT("tblData[[Day 3]]")),0)),"")</f>
        <v/>
      </c>
      <c r="I72" s="267" t="str">
        <f ca="1">IFERROR(IF(VLOOKUP('Data Entry Form'!$CG79,tblData[],COLUMN(INDIRECT("tblData[[Day 4]]")),0)=0,"",VLOOKUP('Data Entry Form'!$CG79,tblData[],COLUMN(INDIRECT("tblData[[Day 4]]")),0)),"")</f>
        <v/>
      </c>
      <c r="J72" s="267" t="str">
        <f ca="1">IFERROR(IF(VLOOKUP('Data Entry Form'!$CG79,tblData[],COLUMN(INDIRECT("tblData[[Day 5]]")),0)=0,"",VLOOKUP('Data Entry Form'!$CG79,tblData[],COLUMN(INDIRECT("tblData[[Day 5]]")),0)),"")</f>
        <v/>
      </c>
      <c r="K72" s="267" t="str">
        <f ca="1">IFERROR(IF(VLOOKUP('Data Entry Form'!$CG79,tblData[],COLUMN(INDIRECT("tblData[[Day 6]]")),0)=0,"",VLOOKUP('Data Entry Form'!$CG79,tblData[],COLUMN(INDIRECT("tblData[[Day 6]]")),0)),"")</f>
        <v/>
      </c>
      <c r="L72" s="267" t="str">
        <f ca="1">IFERROR(IF(VLOOKUP('Data Entry Form'!$CG79,tblData[],COLUMN(INDIRECT("tblData[[Day 7]]")),0)=0,"",VLOOKUP('Data Entry Form'!$CG79,tblData[],COLUMN(INDIRECT("tblData[[Day 7]]")),0)),"")</f>
        <v/>
      </c>
      <c r="M72" s="267" t="str">
        <f ca="1">IFERROR(IF(VLOOKUP('Data Entry Form'!$CG79,tblData[],COLUMN(INDIRECT("tblData[[Day 8]]")),0)=0,"",VLOOKUP('Data Entry Form'!$CG79,tblData[],COLUMN(INDIRECT("tblData[[Day 8]]")),0)),"")</f>
        <v/>
      </c>
      <c r="N72" s="267" t="str">
        <f ca="1">IFERROR(IF(VLOOKUP('Data Entry Form'!$CG79,tblData[],COLUMN(INDIRECT("tblData[[Day 9]]")),0)=0,"",VLOOKUP('Data Entry Form'!$CG79,tblData[],COLUMN(INDIRECT("tblData[[Day 9]]")),0)),"")</f>
        <v/>
      </c>
    </row>
    <row r="73" spans="1:14" s="125" customFormat="1" ht="32.1" customHeight="1">
      <c r="A73" s="261" t="str">
        <f ca="1">IFERROR(VLOOKUP('Data Entry Form'!$CG80,tblData[],COLUMN(INDIRECT("tblData[[No]]")),0),"")</f>
        <v/>
      </c>
      <c r="B73" s="262" t="str">
        <f ca="1">IFERROR(VLOOKUP('Data Entry Form'!$CG80,tblData[],COLUMN(INDIRECT("tblData[[Surname]]")),0),"")</f>
        <v/>
      </c>
      <c r="C73" s="262" t="str">
        <f ca="1">IFERROR(VLOOKUP('Data Entry Form'!$CG80,tblData[],COLUMN(INDIRECT("tblData[[Given Name]]")),0),"")</f>
        <v/>
      </c>
      <c r="D73" s="262" t="str">
        <f ca="1">IFERROR(VLOOKUP('Data Entry Form'!$CG80,tblData[],COLUMN(INDIRECT("tblData[[Position]]")),0),"")</f>
        <v/>
      </c>
      <c r="E73" s="262" t="str">
        <f ca="1">IFERROR(VLOOKUP('Data Entry Form'!$CG80,tblData[],COLUMN(INDIRECT("tblData[[Gender]]")),0),"")</f>
        <v/>
      </c>
      <c r="F73" s="267" t="str">
        <f ca="1">IFERROR(IF(VLOOKUP('Data Entry Form'!$CG80,tblData[],COLUMN(INDIRECT("tblData[[Day 1]]")),0)=0,"",VLOOKUP('Data Entry Form'!$CG80,tblData[],COLUMN(INDIRECT("tblData[[Day 1]]")),0)),"")</f>
        <v/>
      </c>
      <c r="G73" s="267" t="str">
        <f ca="1">IFERROR(IF(VLOOKUP('Data Entry Form'!$CG80,tblData[],COLUMN(INDIRECT("tblData[[Day 2]]")),0)=0,"",VLOOKUP('Data Entry Form'!$CG80,tblData[],COLUMN(INDIRECT("tblData[[Day 2]]")),0)),"")</f>
        <v/>
      </c>
      <c r="H73" s="267" t="str">
        <f ca="1">IFERROR(IF(VLOOKUP('Data Entry Form'!$CG80,tblData[],COLUMN(INDIRECT("tblData[[Day 3]]")),0)=0,"",VLOOKUP('Data Entry Form'!$CG80,tblData[],COLUMN(INDIRECT("tblData[[Day 3]]")),0)),"")</f>
        <v/>
      </c>
      <c r="I73" s="267" t="str">
        <f ca="1">IFERROR(IF(VLOOKUP('Data Entry Form'!$CG80,tblData[],COLUMN(INDIRECT("tblData[[Day 4]]")),0)=0,"",VLOOKUP('Data Entry Form'!$CG80,tblData[],COLUMN(INDIRECT("tblData[[Day 4]]")),0)),"")</f>
        <v/>
      </c>
      <c r="J73" s="267" t="str">
        <f ca="1">IFERROR(IF(VLOOKUP('Data Entry Form'!$CG80,tblData[],COLUMN(INDIRECT("tblData[[Day 5]]")),0)=0,"",VLOOKUP('Data Entry Form'!$CG80,tblData[],COLUMN(INDIRECT("tblData[[Day 5]]")),0)),"")</f>
        <v/>
      </c>
      <c r="K73" s="267" t="str">
        <f ca="1">IFERROR(IF(VLOOKUP('Data Entry Form'!$CG80,tblData[],COLUMN(INDIRECT("tblData[[Day 6]]")),0)=0,"",VLOOKUP('Data Entry Form'!$CG80,tblData[],COLUMN(INDIRECT("tblData[[Day 6]]")),0)),"")</f>
        <v/>
      </c>
      <c r="L73" s="267" t="str">
        <f ca="1">IFERROR(IF(VLOOKUP('Data Entry Form'!$CG80,tblData[],COLUMN(INDIRECT("tblData[[Day 7]]")),0)=0,"",VLOOKUP('Data Entry Form'!$CG80,tblData[],COLUMN(INDIRECT("tblData[[Day 7]]")),0)),"")</f>
        <v/>
      </c>
      <c r="M73" s="267" t="str">
        <f ca="1">IFERROR(IF(VLOOKUP('Data Entry Form'!$CG80,tblData[],COLUMN(INDIRECT("tblData[[Day 8]]")),0)=0,"",VLOOKUP('Data Entry Form'!$CG80,tblData[],COLUMN(INDIRECT("tblData[[Day 8]]")),0)),"")</f>
        <v/>
      </c>
      <c r="N73" s="267" t="str">
        <f ca="1">IFERROR(IF(VLOOKUP('Data Entry Form'!$CG80,tblData[],COLUMN(INDIRECT("tblData[[Day 9]]")),0)=0,"",VLOOKUP('Data Entry Form'!$CG80,tblData[],COLUMN(INDIRECT("tblData[[Day 9]]")),0)),"")</f>
        <v/>
      </c>
    </row>
    <row r="74" spans="1:14" s="125" customFormat="1" ht="32.1" customHeight="1">
      <c r="A74" s="261" t="str">
        <f ca="1">IFERROR(VLOOKUP('Data Entry Form'!$CG81,tblData[],COLUMN(INDIRECT("tblData[[No]]")),0),"")</f>
        <v/>
      </c>
      <c r="B74" s="262" t="str">
        <f ca="1">IFERROR(VLOOKUP('Data Entry Form'!$CG81,tblData[],COLUMN(INDIRECT("tblData[[Surname]]")),0),"")</f>
        <v/>
      </c>
      <c r="C74" s="262" t="str">
        <f ca="1">IFERROR(VLOOKUP('Data Entry Form'!$CG81,tblData[],COLUMN(INDIRECT("tblData[[Given Name]]")),0),"")</f>
        <v/>
      </c>
      <c r="D74" s="262" t="str">
        <f ca="1">IFERROR(VLOOKUP('Data Entry Form'!$CG81,tblData[],COLUMN(INDIRECT("tblData[[Position]]")),0),"")</f>
        <v/>
      </c>
      <c r="E74" s="262" t="str">
        <f ca="1">IFERROR(VLOOKUP('Data Entry Form'!$CG81,tblData[],COLUMN(INDIRECT("tblData[[Gender]]")),0),"")</f>
        <v/>
      </c>
      <c r="F74" s="267" t="str">
        <f ca="1">IFERROR(IF(VLOOKUP('Data Entry Form'!$CG81,tblData[],COLUMN(INDIRECT("tblData[[Day 1]]")),0)=0,"",VLOOKUP('Data Entry Form'!$CG81,tblData[],COLUMN(INDIRECT("tblData[[Day 1]]")),0)),"")</f>
        <v/>
      </c>
      <c r="G74" s="267" t="str">
        <f ca="1">IFERROR(IF(VLOOKUP('Data Entry Form'!$CG81,tblData[],COLUMN(INDIRECT("tblData[[Day 2]]")),0)=0,"",VLOOKUP('Data Entry Form'!$CG81,tblData[],COLUMN(INDIRECT("tblData[[Day 2]]")),0)),"")</f>
        <v/>
      </c>
      <c r="H74" s="267" t="str">
        <f ca="1">IFERROR(IF(VLOOKUP('Data Entry Form'!$CG81,tblData[],COLUMN(INDIRECT("tblData[[Day 3]]")),0)=0,"",VLOOKUP('Data Entry Form'!$CG81,tblData[],COLUMN(INDIRECT("tblData[[Day 3]]")),0)),"")</f>
        <v/>
      </c>
      <c r="I74" s="267" t="str">
        <f ca="1">IFERROR(IF(VLOOKUP('Data Entry Form'!$CG81,tblData[],COLUMN(INDIRECT("tblData[[Day 4]]")),0)=0,"",VLOOKUP('Data Entry Form'!$CG81,tblData[],COLUMN(INDIRECT("tblData[[Day 4]]")),0)),"")</f>
        <v/>
      </c>
      <c r="J74" s="267" t="str">
        <f ca="1">IFERROR(IF(VLOOKUP('Data Entry Form'!$CG81,tblData[],COLUMN(INDIRECT("tblData[[Day 5]]")),0)=0,"",VLOOKUP('Data Entry Form'!$CG81,tblData[],COLUMN(INDIRECT("tblData[[Day 5]]")),0)),"")</f>
        <v/>
      </c>
      <c r="K74" s="267" t="str">
        <f ca="1">IFERROR(IF(VLOOKUP('Data Entry Form'!$CG81,tblData[],COLUMN(INDIRECT("tblData[[Day 6]]")),0)=0,"",VLOOKUP('Data Entry Form'!$CG81,tblData[],COLUMN(INDIRECT("tblData[[Day 6]]")),0)),"")</f>
        <v/>
      </c>
      <c r="L74" s="267" t="str">
        <f ca="1">IFERROR(IF(VLOOKUP('Data Entry Form'!$CG81,tblData[],COLUMN(INDIRECT("tblData[[Day 7]]")),0)=0,"",VLOOKUP('Data Entry Form'!$CG81,tblData[],COLUMN(INDIRECT("tblData[[Day 7]]")),0)),"")</f>
        <v/>
      </c>
      <c r="M74" s="267" t="str">
        <f ca="1">IFERROR(IF(VLOOKUP('Data Entry Form'!$CG81,tblData[],COLUMN(INDIRECT("tblData[[Day 8]]")),0)=0,"",VLOOKUP('Data Entry Form'!$CG81,tblData[],COLUMN(INDIRECT("tblData[[Day 8]]")),0)),"")</f>
        <v/>
      </c>
      <c r="N74" s="267" t="str">
        <f ca="1">IFERROR(IF(VLOOKUP('Data Entry Form'!$CG81,tblData[],COLUMN(INDIRECT("tblData[[Day 9]]")),0)=0,"",VLOOKUP('Data Entry Form'!$CG81,tblData[],COLUMN(INDIRECT("tblData[[Day 9]]")),0)),"")</f>
        <v/>
      </c>
    </row>
    <row r="75" spans="1:14" s="125" customFormat="1" ht="32.1" customHeight="1">
      <c r="A75" s="261" t="str">
        <f ca="1">IFERROR(VLOOKUP('Data Entry Form'!$CG82,tblData[],COLUMN(INDIRECT("tblData[[No]]")),0),"")</f>
        <v/>
      </c>
      <c r="B75" s="262" t="str">
        <f ca="1">IFERROR(VLOOKUP('Data Entry Form'!$CG82,tblData[],COLUMN(INDIRECT("tblData[[Surname]]")),0),"")</f>
        <v/>
      </c>
      <c r="C75" s="262" t="str">
        <f ca="1">IFERROR(VLOOKUP('Data Entry Form'!$CG82,tblData[],COLUMN(INDIRECT("tblData[[Given Name]]")),0),"")</f>
        <v/>
      </c>
      <c r="D75" s="262" t="str">
        <f ca="1">IFERROR(VLOOKUP('Data Entry Form'!$CG82,tblData[],COLUMN(INDIRECT("tblData[[Position]]")),0),"")</f>
        <v/>
      </c>
      <c r="E75" s="262" t="str">
        <f ca="1">IFERROR(VLOOKUP('Data Entry Form'!$CG82,tblData[],COLUMN(INDIRECT("tblData[[Gender]]")),0),"")</f>
        <v/>
      </c>
      <c r="F75" s="267" t="str">
        <f ca="1">IFERROR(IF(VLOOKUP('Data Entry Form'!$CG82,tblData[],COLUMN(INDIRECT("tblData[[Day 1]]")),0)=0,"",VLOOKUP('Data Entry Form'!$CG82,tblData[],COLUMN(INDIRECT("tblData[[Day 1]]")),0)),"")</f>
        <v/>
      </c>
      <c r="G75" s="267" t="str">
        <f ca="1">IFERROR(IF(VLOOKUP('Data Entry Form'!$CG82,tblData[],COLUMN(INDIRECT("tblData[[Day 2]]")),0)=0,"",VLOOKUP('Data Entry Form'!$CG82,tblData[],COLUMN(INDIRECT("tblData[[Day 2]]")),0)),"")</f>
        <v/>
      </c>
      <c r="H75" s="267" t="str">
        <f ca="1">IFERROR(IF(VLOOKUP('Data Entry Form'!$CG82,tblData[],COLUMN(INDIRECT("tblData[[Day 3]]")),0)=0,"",VLOOKUP('Data Entry Form'!$CG82,tblData[],COLUMN(INDIRECT("tblData[[Day 3]]")),0)),"")</f>
        <v/>
      </c>
      <c r="I75" s="267" t="str">
        <f ca="1">IFERROR(IF(VLOOKUP('Data Entry Form'!$CG82,tblData[],COLUMN(INDIRECT("tblData[[Day 4]]")),0)=0,"",VLOOKUP('Data Entry Form'!$CG82,tblData[],COLUMN(INDIRECT("tblData[[Day 4]]")),0)),"")</f>
        <v/>
      </c>
      <c r="J75" s="267" t="str">
        <f ca="1">IFERROR(IF(VLOOKUP('Data Entry Form'!$CG82,tblData[],COLUMN(INDIRECT("tblData[[Day 5]]")),0)=0,"",VLOOKUP('Data Entry Form'!$CG82,tblData[],COLUMN(INDIRECT("tblData[[Day 5]]")),0)),"")</f>
        <v/>
      </c>
      <c r="K75" s="267" t="str">
        <f ca="1">IFERROR(IF(VLOOKUP('Data Entry Form'!$CG82,tblData[],COLUMN(INDIRECT("tblData[[Day 6]]")),0)=0,"",VLOOKUP('Data Entry Form'!$CG82,tblData[],COLUMN(INDIRECT("tblData[[Day 6]]")),0)),"")</f>
        <v/>
      </c>
      <c r="L75" s="267" t="str">
        <f ca="1">IFERROR(IF(VLOOKUP('Data Entry Form'!$CG82,tblData[],COLUMN(INDIRECT("tblData[[Day 7]]")),0)=0,"",VLOOKUP('Data Entry Form'!$CG82,tblData[],COLUMN(INDIRECT("tblData[[Day 7]]")),0)),"")</f>
        <v/>
      </c>
      <c r="M75" s="267" t="str">
        <f ca="1">IFERROR(IF(VLOOKUP('Data Entry Form'!$CG82,tblData[],COLUMN(INDIRECT("tblData[[Day 8]]")),0)=0,"",VLOOKUP('Data Entry Form'!$CG82,tblData[],COLUMN(INDIRECT("tblData[[Day 8]]")),0)),"")</f>
        <v/>
      </c>
      <c r="N75" s="267" t="str">
        <f ca="1">IFERROR(IF(VLOOKUP('Data Entry Form'!$CG82,tblData[],COLUMN(INDIRECT("tblData[[Day 9]]")),0)=0,"",VLOOKUP('Data Entry Form'!$CG82,tblData[],COLUMN(INDIRECT("tblData[[Day 9]]")),0)),"")</f>
        <v/>
      </c>
    </row>
    <row r="76" spans="1:14" s="125" customFormat="1" ht="32.1" customHeight="1">
      <c r="A76" s="261" t="str">
        <f ca="1">IFERROR(VLOOKUP('Data Entry Form'!$CG83,tblData[],COLUMN(INDIRECT("tblData[[No]]")),0),"")</f>
        <v/>
      </c>
      <c r="B76" s="262" t="str">
        <f ca="1">IFERROR(VLOOKUP('Data Entry Form'!$CG83,tblData[],COLUMN(INDIRECT("tblData[[Surname]]")),0),"")</f>
        <v/>
      </c>
      <c r="C76" s="262" t="str">
        <f ca="1">IFERROR(VLOOKUP('Data Entry Form'!$CG83,tblData[],COLUMN(INDIRECT("tblData[[Given Name]]")),0),"")</f>
        <v/>
      </c>
      <c r="D76" s="262" t="str">
        <f ca="1">IFERROR(VLOOKUP('Data Entry Form'!$CG83,tblData[],COLUMN(INDIRECT("tblData[[Position]]")),0),"")</f>
        <v/>
      </c>
      <c r="E76" s="262" t="str">
        <f ca="1">IFERROR(VLOOKUP('Data Entry Form'!$CG83,tblData[],COLUMN(INDIRECT("tblData[[Gender]]")),0),"")</f>
        <v/>
      </c>
      <c r="F76" s="267" t="str">
        <f ca="1">IFERROR(IF(VLOOKUP('Data Entry Form'!$CG83,tblData[],COLUMN(INDIRECT("tblData[[Day 1]]")),0)=0,"",VLOOKUP('Data Entry Form'!$CG83,tblData[],COLUMN(INDIRECT("tblData[[Day 1]]")),0)),"")</f>
        <v/>
      </c>
      <c r="G76" s="267" t="str">
        <f ca="1">IFERROR(IF(VLOOKUP('Data Entry Form'!$CG83,tblData[],COLUMN(INDIRECT("tblData[[Day 2]]")),0)=0,"",VLOOKUP('Data Entry Form'!$CG83,tblData[],COLUMN(INDIRECT("tblData[[Day 2]]")),0)),"")</f>
        <v/>
      </c>
      <c r="H76" s="267" t="str">
        <f ca="1">IFERROR(IF(VLOOKUP('Data Entry Form'!$CG83,tblData[],COLUMN(INDIRECT("tblData[[Day 3]]")),0)=0,"",VLOOKUP('Data Entry Form'!$CG83,tblData[],COLUMN(INDIRECT("tblData[[Day 3]]")),0)),"")</f>
        <v/>
      </c>
      <c r="I76" s="267" t="str">
        <f ca="1">IFERROR(IF(VLOOKUP('Data Entry Form'!$CG83,tblData[],COLUMN(INDIRECT("tblData[[Day 4]]")),0)=0,"",VLOOKUP('Data Entry Form'!$CG83,tblData[],COLUMN(INDIRECT("tblData[[Day 4]]")),0)),"")</f>
        <v/>
      </c>
      <c r="J76" s="267" t="str">
        <f ca="1">IFERROR(IF(VLOOKUP('Data Entry Form'!$CG83,tblData[],COLUMN(INDIRECT("tblData[[Day 5]]")),0)=0,"",VLOOKUP('Data Entry Form'!$CG83,tblData[],COLUMN(INDIRECT("tblData[[Day 5]]")),0)),"")</f>
        <v/>
      </c>
      <c r="K76" s="267" t="str">
        <f ca="1">IFERROR(IF(VLOOKUP('Data Entry Form'!$CG83,tblData[],COLUMN(INDIRECT("tblData[[Day 6]]")),0)=0,"",VLOOKUP('Data Entry Form'!$CG83,tblData[],COLUMN(INDIRECT("tblData[[Day 6]]")),0)),"")</f>
        <v/>
      </c>
      <c r="L76" s="267" t="str">
        <f ca="1">IFERROR(IF(VLOOKUP('Data Entry Form'!$CG83,tblData[],COLUMN(INDIRECT("tblData[[Day 7]]")),0)=0,"",VLOOKUP('Data Entry Form'!$CG83,tblData[],COLUMN(INDIRECT("tblData[[Day 7]]")),0)),"")</f>
        <v/>
      </c>
      <c r="M76" s="267" t="str">
        <f ca="1">IFERROR(IF(VLOOKUP('Data Entry Form'!$CG83,tblData[],COLUMN(INDIRECT("tblData[[Day 8]]")),0)=0,"",VLOOKUP('Data Entry Form'!$CG83,tblData[],COLUMN(INDIRECT("tblData[[Day 8]]")),0)),"")</f>
        <v/>
      </c>
      <c r="N76" s="267" t="str">
        <f ca="1">IFERROR(IF(VLOOKUP('Data Entry Form'!$CG83,tblData[],COLUMN(INDIRECT("tblData[[Day 9]]")),0)=0,"",VLOOKUP('Data Entry Form'!$CG83,tblData[],COLUMN(INDIRECT("tblData[[Day 9]]")),0)),"")</f>
        <v/>
      </c>
    </row>
    <row r="77" spans="1:14" s="125" customFormat="1" ht="32.1" customHeight="1">
      <c r="A77" s="261" t="str">
        <f ca="1">IFERROR(VLOOKUP('Data Entry Form'!$CG84,tblData[],COLUMN(INDIRECT("tblData[[No]]")),0),"")</f>
        <v/>
      </c>
      <c r="B77" s="262" t="str">
        <f ca="1">IFERROR(VLOOKUP('Data Entry Form'!$CG84,tblData[],COLUMN(INDIRECT("tblData[[Surname]]")),0),"")</f>
        <v/>
      </c>
      <c r="C77" s="262" t="str">
        <f ca="1">IFERROR(VLOOKUP('Data Entry Form'!$CG84,tblData[],COLUMN(INDIRECT("tblData[[Given Name]]")),0),"")</f>
        <v/>
      </c>
      <c r="D77" s="262" t="str">
        <f ca="1">IFERROR(VLOOKUP('Data Entry Form'!$CG84,tblData[],COLUMN(INDIRECT("tblData[[Position]]")),0),"")</f>
        <v/>
      </c>
      <c r="E77" s="262" t="str">
        <f ca="1">IFERROR(VLOOKUP('Data Entry Form'!$CG84,tblData[],COLUMN(INDIRECT("tblData[[Gender]]")),0),"")</f>
        <v/>
      </c>
      <c r="F77" s="267" t="str">
        <f ca="1">IFERROR(IF(VLOOKUP('Data Entry Form'!$CG84,tblData[],COLUMN(INDIRECT("tblData[[Day 1]]")),0)=0,"",VLOOKUP('Data Entry Form'!$CG84,tblData[],COLUMN(INDIRECT("tblData[[Day 1]]")),0)),"")</f>
        <v/>
      </c>
      <c r="G77" s="267" t="str">
        <f ca="1">IFERROR(IF(VLOOKUP('Data Entry Form'!$CG84,tblData[],COLUMN(INDIRECT("tblData[[Day 2]]")),0)=0,"",VLOOKUP('Data Entry Form'!$CG84,tblData[],COLUMN(INDIRECT("tblData[[Day 2]]")),0)),"")</f>
        <v/>
      </c>
      <c r="H77" s="267" t="str">
        <f ca="1">IFERROR(IF(VLOOKUP('Data Entry Form'!$CG84,tblData[],COLUMN(INDIRECT("tblData[[Day 3]]")),0)=0,"",VLOOKUP('Data Entry Form'!$CG84,tblData[],COLUMN(INDIRECT("tblData[[Day 3]]")),0)),"")</f>
        <v/>
      </c>
      <c r="I77" s="267" t="str">
        <f ca="1">IFERROR(IF(VLOOKUP('Data Entry Form'!$CG84,tblData[],COLUMN(INDIRECT("tblData[[Day 4]]")),0)=0,"",VLOOKUP('Data Entry Form'!$CG84,tblData[],COLUMN(INDIRECT("tblData[[Day 4]]")),0)),"")</f>
        <v/>
      </c>
      <c r="J77" s="267" t="str">
        <f ca="1">IFERROR(IF(VLOOKUP('Data Entry Form'!$CG84,tblData[],COLUMN(INDIRECT("tblData[[Day 5]]")),0)=0,"",VLOOKUP('Data Entry Form'!$CG84,tblData[],COLUMN(INDIRECT("tblData[[Day 5]]")),0)),"")</f>
        <v/>
      </c>
      <c r="K77" s="267" t="str">
        <f ca="1">IFERROR(IF(VLOOKUP('Data Entry Form'!$CG84,tblData[],COLUMN(INDIRECT("tblData[[Day 6]]")),0)=0,"",VLOOKUP('Data Entry Form'!$CG84,tblData[],COLUMN(INDIRECT("tblData[[Day 6]]")),0)),"")</f>
        <v/>
      </c>
      <c r="L77" s="267" t="str">
        <f ca="1">IFERROR(IF(VLOOKUP('Data Entry Form'!$CG84,tblData[],COLUMN(INDIRECT("tblData[[Day 7]]")),0)=0,"",VLOOKUP('Data Entry Form'!$CG84,tblData[],COLUMN(INDIRECT("tblData[[Day 7]]")),0)),"")</f>
        <v/>
      </c>
      <c r="M77" s="267" t="str">
        <f ca="1">IFERROR(IF(VLOOKUP('Data Entry Form'!$CG84,tblData[],COLUMN(INDIRECT("tblData[[Day 8]]")),0)=0,"",VLOOKUP('Data Entry Form'!$CG84,tblData[],COLUMN(INDIRECT("tblData[[Day 8]]")),0)),"")</f>
        <v/>
      </c>
      <c r="N77" s="267" t="str">
        <f ca="1">IFERROR(IF(VLOOKUP('Data Entry Form'!$CG84,tblData[],COLUMN(INDIRECT("tblData[[Day 9]]")),0)=0,"",VLOOKUP('Data Entry Form'!$CG84,tblData[],COLUMN(INDIRECT("tblData[[Day 9]]")),0)),"")</f>
        <v/>
      </c>
    </row>
    <row r="78" spans="1:14" s="125" customFormat="1" ht="32.1" customHeight="1">
      <c r="A78" s="261" t="str">
        <f ca="1">IFERROR(VLOOKUP('Data Entry Form'!$CG85,tblData[],COLUMN(INDIRECT("tblData[[No]]")),0),"")</f>
        <v/>
      </c>
      <c r="B78" s="262" t="str">
        <f ca="1">IFERROR(VLOOKUP('Data Entry Form'!$CG85,tblData[],COLUMN(INDIRECT("tblData[[Surname]]")),0),"")</f>
        <v/>
      </c>
      <c r="C78" s="262" t="str">
        <f ca="1">IFERROR(VLOOKUP('Data Entry Form'!$CG85,tblData[],COLUMN(INDIRECT("tblData[[Given Name]]")),0),"")</f>
        <v/>
      </c>
      <c r="D78" s="262" t="str">
        <f ca="1">IFERROR(VLOOKUP('Data Entry Form'!$CG85,tblData[],COLUMN(INDIRECT("tblData[[Position]]")),0),"")</f>
        <v/>
      </c>
      <c r="E78" s="262" t="str">
        <f ca="1">IFERROR(VLOOKUP('Data Entry Form'!$CG85,tblData[],COLUMN(INDIRECT("tblData[[Gender]]")),0),"")</f>
        <v/>
      </c>
      <c r="F78" s="267" t="str">
        <f ca="1">IFERROR(IF(VLOOKUP('Data Entry Form'!$CG85,tblData[],COLUMN(INDIRECT("tblData[[Day 1]]")),0)=0,"",VLOOKUP('Data Entry Form'!$CG85,tblData[],COLUMN(INDIRECT("tblData[[Day 1]]")),0)),"")</f>
        <v/>
      </c>
      <c r="G78" s="267" t="str">
        <f ca="1">IFERROR(IF(VLOOKUP('Data Entry Form'!$CG85,tblData[],COLUMN(INDIRECT("tblData[[Day 2]]")),0)=0,"",VLOOKUP('Data Entry Form'!$CG85,tblData[],COLUMN(INDIRECT("tblData[[Day 2]]")),0)),"")</f>
        <v/>
      </c>
      <c r="H78" s="267" t="str">
        <f ca="1">IFERROR(IF(VLOOKUP('Data Entry Form'!$CG85,tblData[],COLUMN(INDIRECT("tblData[[Day 3]]")),0)=0,"",VLOOKUP('Data Entry Form'!$CG85,tblData[],COLUMN(INDIRECT("tblData[[Day 3]]")),0)),"")</f>
        <v/>
      </c>
      <c r="I78" s="267" t="str">
        <f ca="1">IFERROR(IF(VLOOKUP('Data Entry Form'!$CG85,tblData[],COLUMN(INDIRECT("tblData[[Day 4]]")),0)=0,"",VLOOKUP('Data Entry Form'!$CG85,tblData[],COLUMN(INDIRECT("tblData[[Day 4]]")),0)),"")</f>
        <v/>
      </c>
      <c r="J78" s="267" t="str">
        <f ca="1">IFERROR(IF(VLOOKUP('Data Entry Form'!$CG85,tblData[],COLUMN(INDIRECT("tblData[[Day 5]]")),0)=0,"",VLOOKUP('Data Entry Form'!$CG85,tblData[],COLUMN(INDIRECT("tblData[[Day 5]]")),0)),"")</f>
        <v/>
      </c>
      <c r="K78" s="267" t="str">
        <f ca="1">IFERROR(IF(VLOOKUP('Data Entry Form'!$CG85,tblData[],COLUMN(INDIRECT("tblData[[Day 6]]")),0)=0,"",VLOOKUP('Data Entry Form'!$CG85,tblData[],COLUMN(INDIRECT("tblData[[Day 6]]")),0)),"")</f>
        <v/>
      </c>
      <c r="L78" s="267" t="str">
        <f ca="1">IFERROR(IF(VLOOKUP('Data Entry Form'!$CG85,tblData[],COLUMN(INDIRECT("tblData[[Day 7]]")),0)=0,"",VLOOKUP('Data Entry Form'!$CG85,tblData[],COLUMN(INDIRECT("tblData[[Day 7]]")),0)),"")</f>
        <v/>
      </c>
      <c r="M78" s="267" t="str">
        <f ca="1">IFERROR(IF(VLOOKUP('Data Entry Form'!$CG85,tblData[],COLUMN(INDIRECT("tblData[[Day 8]]")),0)=0,"",VLOOKUP('Data Entry Form'!$CG85,tblData[],COLUMN(INDIRECT("tblData[[Day 8]]")),0)),"")</f>
        <v/>
      </c>
      <c r="N78" s="267" t="str">
        <f ca="1">IFERROR(IF(VLOOKUP('Data Entry Form'!$CG85,tblData[],COLUMN(INDIRECT("tblData[[Day 9]]")),0)=0,"",VLOOKUP('Data Entry Form'!$CG85,tblData[],COLUMN(INDIRECT("tblData[[Day 9]]")),0)),"")</f>
        <v/>
      </c>
    </row>
    <row r="79" spans="1:14" s="125" customFormat="1" ht="32.1" customHeight="1">
      <c r="A79" s="261" t="str">
        <f ca="1">IFERROR(VLOOKUP('Data Entry Form'!$CG86,tblData[],COLUMN(INDIRECT("tblData[[No]]")),0),"")</f>
        <v/>
      </c>
      <c r="B79" s="262" t="str">
        <f ca="1">IFERROR(VLOOKUP('Data Entry Form'!$CG86,tblData[],COLUMN(INDIRECT("tblData[[Surname]]")),0),"")</f>
        <v/>
      </c>
      <c r="C79" s="262" t="str">
        <f ca="1">IFERROR(VLOOKUP('Data Entry Form'!$CG86,tblData[],COLUMN(INDIRECT("tblData[[Given Name]]")),0),"")</f>
        <v/>
      </c>
      <c r="D79" s="262" t="str">
        <f ca="1">IFERROR(VLOOKUP('Data Entry Form'!$CG86,tblData[],COLUMN(INDIRECT("tblData[[Position]]")),0),"")</f>
        <v/>
      </c>
      <c r="E79" s="262" t="str">
        <f ca="1">IFERROR(VLOOKUP('Data Entry Form'!$CG86,tblData[],COLUMN(INDIRECT("tblData[[Gender]]")),0),"")</f>
        <v/>
      </c>
      <c r="F79" s="267" t="str">
        <f ca="1">IFERROR(IF(VLOOKUP('Data Entry Form'!$CG86,tblData[],COLUMN(INDIRECT("tblData[[Day 1]]")),0)=0,"",VLOOKUP('Data Entry Form'!$CG86,tblData[],COLUMN(INDIRECT("tblData[[Day 1]]")),0)),"")</f>
        <v/>
      </c>
      <c r="G79" s="267" t="str">
        <f ca="1">IFERROR(IF(VLOOKUP('Data Entry Form'!$CG86,tblData[],COLUMN(INDIRECT("tblData[[Day 2]]")),0)=0,"",VLOOKUP('Data Entry Form'!$CG86,tblData[],COLUMN(INDIRECT("tblData[[Day 2]]")),0)),"")</f>
        <v/>
      </c>
      <c r="H79" s="267" t="str">
        <f ca="1">IFERROR(IF(VLOOKUP('Data Entry Form'!$CG86,tblData[],COLUMN(INDIRECT("tblData[[Day 3]]")),0)=0,"",VLOOKUP('Data Entry Form'!$CG86,tblData[],COLUMN(INDIRECT("tblData[[Day 3]]")),0)),"")</f>
        <v/>
      </c>
      <c r="I79" s="267" t="str">
        <f ca="1">IFERROR(IF(VLOOKUP('Data Entry Form'!$CG86,tblData[],COLUMN(INDIRECT("tblData[[Day 4]]")),0)=0,"",VLOOKUP('Data Entry Form'!$CG86,tblData[],COLUMN(INDIRECT("tblData[[Day 4]]")),0)),"")</f>
        <v/>
      </c>
      <c r="J79" s="267" t="str">
        <f ca="1">IFERROR(IF(VLOOKUP('Data Entry Form'!$CG86,tblData[],COLUMN(INDIRECT("tblData[[Day 5]]")),0)=0,"",VLOOKUP('Data Entry Form'!$CG86,tblData[],COLUMN(INDIRECT("tblData[[Day 5]]")),0)),"")</f>
        <v/>
      </c>
      <c r="K79" s="267" t="str">
        <f ca="1">IFERROR(IF(VLOOKUP('Data Entry Form'!$CG86,tblData[],COLUMN(INDIRECT("tblData[[Day 6]]")),0)=0,"",VLOOKUP('Data Entry Form'!$CG86,tblData[],COLUMN(INDIRECT("tblData[[Day 6]]")),0)),"")</f>
        <v/>
      </c>
      <c r="L79" s="267" t="str">
        <f ca="1">IFERROR(IF(VLOOKUP('Data Entry Form'!$CG86,tblData[],COLUMN(INDIRECT("tblData[[Day 7]]")),0)=0,"",VLOOKUP('Data Entry Form'!$CG86,tblData[],COLUMN(INDIRECT("tblData[[Day 7]]")),0)),"")</f>
        <v/>
      </c>
      <c r="M79" s="267" t="str">
        <f ca="1">IFERROR(IF(VLOOKUP('Data Entry Form'!$CG86,tblData[],COLUMN(INDIRECT("tblData[[Day 8]]")),0)=0,"",VLOOKUP('Data Entry Form'!$CG86,tblData[],COLUMN(INDIRECT("tblData[[Day 8]]")),0)),"")</f>
        <v/>
      </c>
      <c r="N79" s="267" t="str">
        <f ca="1">IFERROR(IF(VLOOKUP('Data Entry Form'!$CG86,tblData[],COLUMN(INDIRECT("tblData[[Day 9]]")),0)=0,"",VLOOKUP('Data Entry Form'!$CG86,tblData[],COLUMN(INDIRECT("tblData[[Day 9]]")),0)),"")</f>
        <v/>
      </c>
    </row>
    <row r="80" spans="1:14" s="125" customFormat="1" ht="32.1" customHeight="1">
      <c r="A80" s="261" t="str">
        <f ca="1">IFERROR(VLOOKUP('Data Entry Form'!$CG87,tblData[],COLUMN(INDIRECT("tblData[[No]]")),0),"")</f>
        <v/>
      </c>
      <c r="B80" s="262" t="str">
        <f ca="1">IFERROR(VLOOKUP('Data Entry Form'!$CG87,tblData[],COLUMN(INDIRECT("tblData[[Surname]]")),0),"")</f>
        <v/>
      </c>
      <c r="C80" s="262" t="str">
        <f ca="1">IFERROR(VLOOKUP('Data Entry Form'!$CG87,tblData[],COLUMN(INDIRECT("tblData[[Given Name]]")),0),"")</f>
        <v/>
      </c>
      <c r="D80" s="262" t="str">
        <f ca="1">IFERROR(VLOOKUP('Data Entry Form'!$CG87,tblData[],COLUMN(INDIRECT("tblData[[Position]]")),0),"")</f>
        <v/>
      </c>
      <c r="E80" s="262" t="str">
        <f ca="1">IFERROR(VLOOKUP('Data Entry Form'!$CG87,tblData[],COLUMN(INDIRECT("tblData[[Gender]]")),0),"")</f>
        <v/>
      </c>
      <c r="F80" s="267" t="str">
        <f ca="1">IFERROR(IF(VLOOKUP('Data Entry Form'!$CG87,tblData[],COLUMN(INDIRECT("tblData[[Day 1]]")),0)=0,"",VLOOKUP('Data Entry Form'!$CG87,tblData[],COLUMN(INDIRECT("tblData[[Day 1]]")),0)),"")</f>
        <v/>
      </c>
      <c r="G80" s="267" t="str">
        <f ca="1">IFERROR(IF(VLOOKUP('Data Entry Form'!$CG87,tblData[],COLUMN(INDIRECT("tblData[[Day 2]]")),0)=0,"",VLOOKUP('Data Entry Form'!$CG87,tblData[],COLUMN(INDIRECT("tblData[[Day 2]]")),0)),"")</f>
        <v/>
      </c>
      <c r="H80" s="267" t="str">
        <f ca="1">IFERROR(IF(VLOOKUP('Data Entry Form'!$CG87,tblData[],COLUMN(INDIRECT("tblData[[Day 3]]")),0)=0,"",VLOOKUP('Data Entry Form'!$CG87,tblData[],COLUMN(INDIRECT("tblData[[Day 3]]")),0)),"")</f>
        <v/>
      </c>
      <c r="I80" s="267" t="str">
        <f ca="1">IFERROR(IF(VLOOKUP('Data Entry Form'!$CG87,tblData[],COLUMN(INDIRECT("tblData[[Day 4]]")),0)=0,"",VLOOKUP('Data Entry Form'!$CG87,tblData[],COLUMN(INDIRECT("tblData[[Day 4]]")),0)),"")</f>
        <v/>
      </c>
      <c r="J80" s="267" t="str">
        <f ca="1">IFERROR(IF(VLOOKUP('Data Entry Form'!$CG87,tblData[],COLUMN(INDIRECT("tblData[[Day 5]]")),0)=0,"",VLOOKUP('Data Entry Form'!$CG87,tblData[],COLUMN(INDIRECT("tblData[[Day 5]]")),0)),"")</f>
        <v/>
      </c>
      <c r="K80" s="267" t="str">
        <f ca="1">IFERROR(IF(VLOOKUP('Data Entry Form'!$CG87,tblData[],COLUMN(INDIRECT("tblData[[Day 6]]")),0)=0,"",VLOOKUP('Data Entry Form'!$CG87,tblData[],COLUMN(INDIRECT("tblData[[Day 6]]")),0)),"")</f>
        <v/>
      </c>
      <c r="L80" s="267" t="str">
        <f ca="1">IFERROR(IF(VLOOKUP('Data Entry Form'!$CG87,tblData[],COLUMN(INDIRECT("tblData[[Day 7]]")),0)=0,"",VLOOKUP('Data Entry Form'!$CG87,tblData[],COLUMN(INDIRECT("tblData[[Day 7]]")),0)),"")</f>
        <v/>
      </c>
      <c r="M80" s="267" t="str">
        <f ca="1">IFERROR(IF(VLOOKUP('Data Entry Form'!$CG87,tblData[],COLUMN(INDIRECT("tblData[[Day 8]]")),0)=0,"",VLOOKUP('Data Entry Form'!$CG87,tblData[],COLUMN(INDIRECT("tblData[[Day 8]]")),0)),"")</f>
        <v/>
      </c>
      <c r="N80" s="267" t="str">
        <f ca="1">IFERROR(IF(VLOOKUP('Data Entry Form'!$CG87,tblData[],COLUMN(INDIRECT("tblData[[Day 9]]")),0)=0,"",VLOOKUP('Data Entry Form'!$CG87,tblData[],COLUMN(INDIRECT("tblData[[Day 9]]")),0)),"")</f>
        <v/>
      </c>
    </row>
    <row r="81" spans="1:14" s="125" customFormat="1" ht="32.1" customHeight="1">
      <c r="A81" s="261" t="str">
        <f ca="1">IFERROR(VLOOKUP('Data Entry Form'!$CG88,tblData[],COLUMN(INDIRECT("tblData[[No]]")),0),"")</f>
        <v/>
      </c>
      <c r="B81" s="262" t="str">
        <f ca="1">IFERROR(VLOOKUP('Data Entry Form'!$CG88,tblData[],COLUMN(INDIRECT("tblData[[Surname]]")),0),"")</f>
        <v/>
      </c>
      <c r="C81" s="262" t="str">
        <f ca="1">IFERROR(VLOOKUP('Data Entry Form'!$CG88,tblData[],COLUMN(INDIRECT("tblData[[Given Name]]")),0),"")</f>
        <v/>
      </c>
      <c r="D81" s="262" t="str">
        <f ca="1">IFERROR(VLOOKUP('Data Entry Form'!$CG88,tblData[],COLUMN(INDIRECT("tblData[[Position]]")),0),"")</f>
        <v/>
      </c>
      <c r="E81" s="262" t="str">
        <f ca="1">IFERROR(VLOOKUP('Data Entry Form'!$CG88,tblData[],COLUMN(INDIRECT("tblData[[Gender]]")),0),"")</f>
        <v/>
      </c>
      <c r="F81" s="267" t="str">
        <f ca="1">IFERROR(IF(VLOOKUP('Data Entry Form'!$CG88,tblData[],COLUMN(INDIRECT("tblData[[Day 1]]")),0)=0,"",VLOOKUP('Data Entry Form'!$CG88,tblData[],COLUMN(INDIRECT("tblData[[Day 1]]")),0)),"")</f>
        <v/>
      </c>
      <c r="G81" s="267" t="str">
        <f ca="1">IFERROR(IF(VLOOKUP('Data Entry Form'!$CG88,tblData[],COLUMN(INDIRECT("tblData[[Day 2]]")),0)=0,"",VLOOKUP('Data Entry Form'!$CG88,tblData[],COLUMN(INDIRECT("tblData[[Day 2]]")),0)),"")</f>
        <v/>
      </c>
      <c r="H81" s="267" t="str">
        <f ca="1">IFERROR(IF(VLOOKUP('Data Entry Form'!$CG88,tblData[],COLUMN(INDIRECT("tblData[[Day 3]]")),0)=0,"",VLOOKUP('Data Entry Form'!$CG88,tblData[],COLUMN(INDIRECT("tblData[[Day 3]]")),0)),"")</f>
        <v/>
      </c>
      <c r="I81" s="267" t="str">
        <f ca="1">IFERROR(IF(VLOOKUP('Data Entry Form'!$CG88,tblData[],COLUMN(INDIRECT("tblData[[Day 4]]")),0)=0,"",VLOOKUP('Data Entry Form'!$CG88,tblData[],COLUMN(INDIRECT("tblData[[Day 4]]")),0)),"")</f>
        <v/>
      </c>
      <c r="J81" s="267" t="str">
        <f ca="1">IFERROR(IF(VLOOKUP('Data Entry Form'!$CG88,tblData[],COLUMN(INDIRECT("tblData[[Day 5]]")),0)=0,"",VLOOKUP('Data Entry Form'!$CG88,tblData[],COLUMN(INDIRECT("tblData[[Day 5]]")),0)),"")</f>
        <v/>
      </c>
      <c r="K81" s="267" t="str">
        <f ca="1">IFERROR(IF(VLOOKUP('Data Entry Form'!$CG88,tblData[],COLUMN(INDIRECT("tblData[[Day 6]]")),0)=0,"",VLOOKUP('Data Entry Form'!$CG88,tblData[],COLUMN(INDIRECT("tblData[[Day 6]]")),0)),"")</f>
        <v/>
      </c>
      <c r="L81" s="267" t="str">
        <f ca="1">IFERROR(IF(VLOOKUP('Data Entry Form'!$CG88,tblData[],COLUMN(INDIRECT("tblData[[Day 7]]")),0)=0,"",VLOOKUP('Data Entry Form'!$CG88,tblData[],COLUMN(INDIRECT("tblData[[Day 7]]")),0)),"")</f>
        <v/>
      </c>
      <c r="M81" s="267" t="str">
        <f ca="1">IFERROR(IF(VLOOKUP('Data Entry Form'!$CG88,tblData[],COLUMN(INDIRECT("tblData[[Day 8]]")),0)=0,"",VLOOKUP('Data Entry Form'!$CG88,tblData[],COLUMN(INDIRECT("tblData[[Day 8]]")),0)),"")</f>
        <v/>
      </c>
      <c r="N81" s="267" t="str">
        <f ca="1">IFERROR(IF(VLOOKUP('Data Entry Form'!$CG88,tblData[],COLUMN(INDIRECT("tblData[[Day 9]]")),0)=0,"",VLOOKUP('Data Entry Form'!$CG88,tblData[],COLUMN(INDIRECT("tblData[[Day 9]]")),0)),"")</f>
        <v/>
      </c>
    </row>
    <row r="82" spans="1:14" s="125" customFormat="1" ht="32.1" customHeight="1">
      <c r="A82" s="261" t="str">
        <f ca="1">IFERROR(VLOOKUP('Data Entry Form'!$CG89,tblData[],COLUMN(INDIRECT("tblData[[No]]")),0),"")</f>
        <v/>
      </c>
      <c r="B82" s="262" t="str">
        <f ca="1">IFERROR(VLOOKUP('Data Entry Form'!$CG89,tblData[],COLUMN(INDIRECT("tblData[[Surname]]")),0),"")</f>
        <v/>
      </c>
      <c r="C82" s="262" t="str">
        <f ca="1">IFERROR(VLOOKUP('Data Entry Form'!$CG89,tblData[],COLUMN(INDIRECT("tblData[[Given Name]]")),0),"")</f>
        <v/>
      </c>
      <c r="D82" s="262" t="str">
        <f ca="1">IFERROR(VLOOKUP('Data Entry Form'!$CG89,tblData[],COLUMN(INDIRECT("tblData[[Position]]")),0),"")</f>
        <v/>
      </c>
      <c r="E82" s="262" t="str">
        <f ca="1">IFERROR(VLOOKUP('Data Entry Form'!$CG89,tblData[],COLUMN(INDIRECT("tblData[[Gender]]")),0),"")</f>
        <v/>
      </c>
      <c r="F82" s="267" t="str">
        <f ca="1">IFERROR(IF(VLOOKUP('Data Entry Form'!$CG89,tblData[],COLUMN(INDIRECT("tblData[[Day 1]]")),0)=0,"",VLOOKUP('Data Entry Form'!$CG89,tblData[],COLUMN(INDIRECT("tblData[[Day 1]]")),0)),"")</f>
        <v/>
      </c>
      <c r="G82" s="267" t="str">
        <f ca="1">IFERROR(IF(VLOOKUP('Data Entry Form'!$CG89,tblData[],COLUMN(INDIRECT("tblData[[Day 2]]")),0)=0,"",VLOOKUP('Data Entry Form'!$CG89,tblData[],COLUMN(INDIRECT("tblData[[Day 2]]")),0)),"")</f>
        <v/>
      </c>
      <c r="H82" s="267" t="str">
        <f ca="1">IFERROR(IF(VLOOKUP('Data Entry Form'!$CG89,tblData[],COLUMN(INDIRECT("tblData[[Day 3]]")),0)=0,"",VLOOKUP('Data Entry Form'!$CG89,tblData[],COLUMN(INDIRECT("tblData[[Day 3]]")),0)),"")</f>
        <v/>
      </c>
      <c r="I82" s="267" t="str">
        <f ca="1">IFERROR(IF(VLOOKUP('Data Entry Form'!$CG89,tblData[],COLUMN(INDIRECT("tblData[[Day 4]]")),0)=0,"",VLOOKUP('Data Entry Form'!$CG89,tblData[],COLUMN(INDIRECT("tblData[[Day 4]]")),0)),"")</f>
        <v/>
      </c>
      <c r="J82" s="267" t="str">
        <f ca="1">IFERROR(IF(VLOOKUP('Data Entry Form'!$CG89,tblData[],COLUMN(INDIRECT("tblData[[Day 5]]")),0)=0,"",VLOOKUP('Data Entry Form'!$CG89,tblData[],COLUMN(INDIRECT("tblData[[Day 5]]")),0)),"")</f>
        <v/>
      </c>
      <c r="K82" s="267" t="str">
        <f ca="1">IFERROR(IF(VLOOKUP('Data Entry Form'!$CG89,tblData[],COLUMN(INDIRECT("tblData[[Day 6]]")),0)=0,"",VLOOKUP('Data Entry Form'!$CG89,tblData[],COLUMN(INDIRECT("tblData[[Day 6]]")),0)),"")</f>
        <v/>
      </c>
      <c r="L82" s="267" t="str">
        <f ca="1">IFERROR(IF(VLOOKUP('Data Entry Form'!$CG89,tblData[],COLUMN(INDIRECT("tblData[[Day 7]]")),0)=0,"",VLOOKUP('Data Entry Form'!$CG89,tblData[],COLUMN(INDIRECT("tblData[[Day 7]]")),0)),"")</f>
        <v/>
      </c>
      <c r="M82" s="267" t="str">
        <f ca="1">IFERROR(IF(VLOOKUP('Data Entry Form'!$CG89,tblData[],COLUMN(INDIRECT("tblData[[Day 8]]")),0)=0,"",VLOOKUP('Data Entry Form'!$CG89,tblData[],COLUMN(INDIRECT("tblData[[Day 8]]")),0)),"")</f>
        <v/>
      </c>
      <c r="N82" s="267" t="str">
        <f ca="1">IFERROR(IF(VLOOKUP('Data Entry Form'!$CG89,tblData[],COLUMN(INDIRECT("tblData[[Day 9]]")),0)=0,"",VLOOKUP('Data Entry Form'!$CG89,tblData[],COLUMN(INDIRECT("tblData[[Day 9]]")),0)),"")</f>
        <v/>
      </c>
    </row>
    <row r="83" spans="1:14" s="125" customFormat="1" ht="32.1" customHeight="1">
      <c r="A83" s="261" t="str">
        <f ca="1">IFERROR(VLOOKUP('Data Entry Form'!$CG90,tblData[],COLUMN(INDIRECT("tblData[[No]]")),0),"")</f>
        <v/>
      </c>
      <c r="B83" s="262" t="str">
        <f ca="1">IFERROR(VLOOKUP('Data Entry Form'!$CG90,tblData[],COLUMN(INDIRECT("tblData[[Surname]]")),0),"")</f>
        <v/>
      </c>
      <c r="C83" s="262" t="str">
        <f ca="1">IFERROR(VLOOKUP('Data Entry Form'!$CG90,tblData[],COLUMN(INDIRECT("tblData[[Given Name]]")),0),"")</f>
        <v/>
      </c>
      <c r="D83" s="262" t="str">
        <f ca="1">IFERROR(VLOOKUP('Data Entry Form'!$CG90,tblData[],COLUMN(INDIRECT("tblData[[Position]]")),0),"")</f>
        <v/>
      </c>
      <c r="E83" s="262" t="str">
        <f ca="1">IFERROR(VLOOKUP('Data Entry Form'!$CG90,tblData[],COLUMN(INDIRECT("tblData[[Gender]]")),0),"")</f>
        <v/>
      </c>
      <c r="F83" s="267" t="str">
        <f ca="1">IFERROR(IF(VLOOKUP('Data Entry Form'!$CG90,tblData[],COLUMN(INDIRECT("tblData[[Day 1]]")),0)=0,"",VLOOKUP('Data Entry Form'!$CG90,tblData[],COLUMN(INDIRECT("tblData[[Day 1]]")),0)),"")</f>
        <v/>
      </c>
      <c r="G83" s="267" t="str">
        <f ca="1">IFERROR(IF(VLOOKUP('Data Entry Form'!$CG90,tblData[],COLUMN(INDIRECT("tblData[[Day 2]]")),0)=0,"",VLOOKUP('Data Entry Form'!$CG90,tblData[],COLUMN(INDIRECT("tblData[[Day 2]]")),0)),"")</f>
        <v/>
      </c>
      <c r="H83" s="267" t="str">
        <f ca="1">IFERROR(IF(VLOOKUP('Data Entry Form'!$CG90,tblData[],COLUMN(INDIRECT("tblData[[Day 3]]")),0)=0,"",VLOOKUP('Data Entry Form'!$CG90,tblData[],COLUMN(INDIRECT("tblData[[Day 3]]")),0)),"")</f>
        <v/>
      </c>
      <c r="I83" s="267" t="str">
        <f ca="1">IFERROR(IF(VLOOKUP('Data Entry Form'!$CG90,tblData[],COLUMN(INDIRECT("tblData[[Day 4]]")),0)=0,"",VLOOKUP('Data Entry Form'!$CG90,tblData[],COLUMN(INDIRECT("tblData[[Day 4]]")),0)),"")</f>
        <v/>
      </c>
      <c r="J83" s="267" t="str">
        <f ca="1">IFERROR(IF(VLOOKUP('Data Entry Form'!$CG90,tblData[],COLUMN(INDIRECT("tblData[[Day 5]]")),0)=0,"",VLOOKUP('Data Entry Form'!$CG90,tblData[],COLUMN(INDIRECT("tblData[[Day 5]]")),0)),"")</f>
        <v/>
      </c>
      <c r="K83" s="267" t="str">
        <f ca="1">IFERROR(IF(VLOOKUP('Data Entry Form'!$CG90,tblData[],COLUMN(INDIRECT("tblData[[Day 6]]")),0)=0,"",VLOOKUP('Data Entry Form'!$CG90,tblData[],COLUMN(INDIRECT("tblData[[Day 6]]")),0)),"")</f>
        <v/>
      </c>
      <c r="L83" s="267" t="str">
        <f ca="1">IFERROR(IF(VLOOKUP('Data Entry Form'!$CG90,tblData[],COLUMN(INDIRECT("tblData[[Day 7]]")),0)=0,"",VLOOKUP('Data Entry Form'!$CG90,tblData[],COLUMN(INDIRECT("tblData[[Day 7]]")),0)),"")</f>
        <v/>
      </c>
      <c r="M83" s="267" t="str">
        <f ca="1">IFERROR(IF(VLOOKUP('Data Entry Form'!$CG90,tblData[],COLUMN(INDIRECT("tblData[[Day 8]]")),0)=0,"",VLOOKUP('Data Entry Form'!$CG90,tblData[],COLUMN(INDIRECT("tblData[[Day 8]]")),0)),"")</f>
        <v/>
      </c>
      <c r="N83" s="267" t="str">
        <f ca="1">IFERROR(IF(VLOOKUP('Data Entry Form'!$CG90,tblData[],COLUMN(INDIRECT("tblData[[Day 9]]")),0)=0,"",VLOOKUP('Data Entry Form'!$CG90,tblData[],COLUMN(INDIRECT("tblData[[Day 9]]")),0)),"")</f>
        <v/>
      </c>
    </row>
    <row r="84" spans="1:14" s="125" customFormat="1" ht="32.1" customHeight="1">
      <c r="A84" s="261" t="str">
        <f ca="1">IFERROR(VLOOKUP('Data Entry Form'!$CG91,tblData[],COLUMN(INDIRECT("tblData[[No]]")),0),"")</f>
        <v/>
      </c>
      <c r="B84" s="262" t="str">
        <f ca="1">IFERROR(VLOOKUP('Data Entry Form'!$CG91,tblData[],COLUMN(INDIRECT("tblData[[Surname]]")),0),"")</f>
        <v/>
      </c>
      <c r="C84" s="262" t="str">
        <f ca="1">IFERROR(VLOOKUP('Data Entry Form'!$CG91,tblData[],COLUMN(INDIRECT("tblData[[Given Name]]")),0),"")</f>
        <v/>
      </c>
      <c r="D84" s="262" t="str">
        <f ca="1">IFERROR(VLOOKUP('Data Entry Form'!$CG91,tblData[],COLUMN(INDIRECT("tblData[[Position]]")),0),"")</f>
        <v/>
      </c>
      <c r="E84" s="262" t="str">
        <f ca="1">IFERROR(VLOOKUP('Data Entry Form'!$CG91,tblData[],COLUMN(INDIRECT("tblData[[Gender]]")),0),"")</f>
        <v/>
      </c>
      <c r="F84" s="267" t="str">
        <f ca="1">IFERROR(IF(VLOOKUP('Data Entry Form'!$CG91,tblData[],COLUMN(INDIRECT("tblData[[Day 1]]")),0)=0,"",VLOOKUP('Data Entry Form'!$CG91,tblData[],COLUMN(INDIRECT("tblData[[Day 1]]")),0)),"")</f>
        <v/>
      </c>
      <c r="G84" s="267" t="str">
        <f ca="1">IFERROR(IF(VLOOKUP('Data Entry Form'!$CG91,tblData[],COLUMN(INDIRECT("tblData[[Day 2]]")),0)=0,"",VLOOKUP('Data Entry Form'!$CG91,tblData[],COLUMN(INDIRECT("tblData[[Day 2]]")),0)),"")</f>
        <v/>
      </c>
      <c r="H84" s="267" t="str">
        <f ca="1">IFERROR(IF(VLOOKUP('Data Entry Form'!$CG91,tblData[],COLUMN(INDIRECT("tblData[[Day 3]]")),0)=0,"",VLOOKUP('Data Entry Form'!$CG91,tblData[],COLUMN(INDIRECT("tblData[[Day 3]]")),0)),"")</f>
        <v/>
      </c>
      <c r="I84" s="267" t="str">
        <f ca="1">IFERROR(IF(VLOOKUP('Data Entry Form'!$CG91,tblData[],COLUMN(INDIRECT("tblData[[Day 4]]")),0)=0,"",VLOOKUP('Data Entry Form'!$CG91,tblData[],COLUMN(INDIRECT("tblData[[Day 4]]")),0)),"")</f>
        <v/>
      </c>
      <c r="J84" s="267" t="str">
        <f ca="1">IFERROR(IF(VLOOKUP('Data Entry Form'!$CG91,tblData[],COLUMN(INDIRECT("tblData[[Day 5]]")),0)=0,"",VLOOKUP('Data Entry Form'!$CG91,tblData[],COLUMN(INDIRECT("tblData[[Day 5]]")),0)),"")</f>
        <v/>
      </c>
      <c r="K84" s="267" t="str">
        <f ca="1">IFERROR(IF(VLOOKUP('Data Entry Form'!$CG91,tblData[],COLUMN(INDIRECT("tblData[[Day 6]]")),0)=0,"",VLOOKUP('Data Entry Form'!$CG91,tblData[],COLUMN(INDIRECT("tblData[[Day 6]]")),0)),"")</f>
        <v/>
      </c>
      <c r="L84" s="267" t="str">
        <f ca="1">IFERROR(IF(VLOOKUP('Data Entry Form'!$CG91,tblData[],COLUMN(INDIRECT("tblData[[Day 7]]")),0)=0,"",VLOOKUP('Data Entry Form'!$CG91,tblData[],COLUMN(INDIRECT("tblData[[Day 7]]")),0)),"")</f>
        <v/>
      </c>
      <c r="M84" s="267" t="str">
        <f ca="1">IFERROR(IF(VLOOKUP('Data Entry Form'!$CG91,tblData[],COLUMN(INDIRECT("tblData[[Day 8]]")),0)=0,"",VLOOKUP('Data Entry Form'!$CG91,tblData[],COLUMN(INDIRECT("tblData[[Day 8]]")),0)),"")</f>
        <v/>
      </c>
      <c r="N84" s="267" t="str">
        <f ca="1">IFERROR(IF(VLOOKUP('Data Entry Form'!$CG91,tblData[],COLUMN(INDIRECT("tblData[[Day 9]]")),0)=0,"",VLOOKUP('Data Entry Form'!$CG91,tblData[],COLUMN(INDIRECT("tblData[[Day 9]]")),0)),"")</f>
        <v/>
      </c>
    </row>
    <row r="85" spans="1:14" s="125" customFormat="1" ht="32.1" customHeight="1">
      <c r="A85" s="261" t="str">
        <f ca="1">IFERROR(VLOOKUP('Data Entry Form'!$CG92,tblData[],COLUMN(INDIRECT("tblData[[No]]")),0),"")</f>
        <v/>
      </c>
      <c r="B85" s="262" t="str">
        <f ca="1">IFERROR(VLOOKUP('Data Entry Form'!$CG92,tblData[],COLUMN(INDIRECT("tblData[[Surname]]")),0),"")</f>
        <v/>
      </c>
      <c r="C85" s="262" t="str">
        <f ca="1">IFERROR(VLOOKUP('Data Entry Form'!$CG92,tblData[],COLUMN(INDIRECT("tblData[[Given Name]]")),0),"")</f>
        <v/>
      </c>
      <c r="D85" s="262" t="str">
        <f ca="1">IFERROR(VLOOKUP('Data Entry Form'!$CG92,tblData[],COLUMN(INDIRECT("tblData[[Position]]")),0),"")</f>
        <v/>
      </c>
      <c r="E85" s="262" t="str">
        <f ca="1">IFERROR(VLOOKUP('Data Entry Form'!$CG92,tblData[],COLUMN(INDIRECT("tblData[[Gender]]")),0),"")</f>
        <v/>
      </c>
      <c r="F85" s="267" t="str">
        <f ca="1">IFERROR(IF(VLOOKUP('Data Entry Form'!$CG92,tblData[],COLUMN(INDIRECT("tblData[[Day 1]]")),0)=0,"",VLOOKUP('Data Entry Form'!$CG92,tblData[],COLUMN(INDIRECT("tblData[[Day 1]]")),0)),"")</f>
        <v/>
      </c>
      <c r="G85" s="267" t="str">
        <f ca="1">IFERROR(IF(VLOOKUP('Data Entry Form'!$CG92,tblData[],COLUMN(INDIRECT("tblData[[Day 2]]")),0)=0,"",VLOOKUP('Data Entry Form'!$CG92,tblData[],COLUMN(INDIRECT("tblData[[Day 2]]")),0)),"")</f>
        <v/>
      </c>
      <c r="H85" s="267" t="str">
        <f ca="1">IFERROR(IF(VLOOKUP('Data Entry Form'!$CG92,tblData[],COLUMN(INDIRECT("tblData[[Day 3]]")),0)=0,"",VLOOKUP('Data Entry Form'!$CG92,tblData[],COLUMN(INDIRECT("tblData[[Day 3]]")),0)),"")</f>
        <v/>
      </c>
      <c r="I85" s="267" t="str">
        <f ca="1">IFERROR(IF(VLOOKUP('Data Entry Form'!$CG92,tblData[],COLUMN(INDIRECT("tblData[[Day 4]]")),0)=0,"",VLOOKUP('Data Entry Form'!$CG92,tblData[],COLUMN(INDIRECT("tblData[[Day 4]]")),0)),"")</f>
        <v/>
      </c>
      <c r="J85" s="267" t="str">
        <f ca="1">IFERROR(IF(VLOOKUP('Data Entry Form'!$CG92,tblData[],COLUMN(INDIRECT("tblData[[Day 5]]")),0)=0,"",VLOOKUP('Data Entry Form'!$CG92,tblData[],COLUMN(INDIRECT("tblData[[Day 5]]")),0)),"")</f>
        <v/>
      </c>
      <c r="K85" s="267" t="str">
        <f ca="1">IFERROR(IF(VLOOKUP('Data Entry Form'!$CG92,tblData[],COLUMN(INDIRECT("tblData[[Day 6]]")),0)=0,"",VLOOKUP('Data Entry Form'!$CG92,tblData[],COLUMN(INDIRECT("tblData[[Day 6]]")),0)),"")</f>
        <v/>
      </c>
      <c r="L85" s="267" t="str">
        <f ca="1">IFERROR(IF(VLOOKUP('Data Entry Form'!$CG92,tblData[],COLUMN(INDIRECT("tblData[[Day 7]]")),0)=0,"",VLOOKUP('Data Entry Form'!$CG92,tblData[],COLUMN(INDIRECT("tblData[[Day 7]]")),0)),"")</f>
        <v/>
      </c>
      <c r="M85" s="267" t="str">
        <f ca="1">IFERROR(IF(VLOOKUP('Data Entry Form'!$CG92,tblData[],COLUMN(INDIRECT("tblData[[Day 8]]")),0)=0,"",VLOOKUP('Data Entry Form'!$CG92,tblData[],COLUMN(INDIRECT("tblData[[Day 8]]")),0)),"")</f>
        <v/>
      </c>
      <c r="N85" s="267" t="str">
        <f ca="1">IFERROR(IF(VLOOKUP('Data Entry Form'!$CG92,tblData[],COLUMN(INDIRECT("tblData[[Day 9]]")),0)=0,"",VLOOKUP('Data Entry Form'!$CG92,tblData[],COLUMN(INDIRECT("tblData[[Day 9]]")),0)),"")</f>
        <v/>
      </c>
    </row>
    <row r="86" spans="1:14" s="125" customFormat="1" ht="32.1" customHeight="1">
      <c r="A86" s="261" t="str">
        <f ca="1">IFERROR(VLOOKUP('Data Entry Form'!$CG93,tblData[],COLUMN(INDIRECT("tblData[[No]]")),0),"")</f>
        <v/>
      </c>
      <c r="B86" s="262" t="str">
        <f ca="1">IFERROR(VLOOKUP('Data Entry Form'!$CG93,tblData[],COLUMN(INDIRECT("tblData[[Surname]]")),0),"")</f>
        <v/>
      </c>
      <c r="C86" s="262" t="str">
        <f ca="1">IFERROR(VLOOKUP('Data Entry Form'!$CG93,tblData[],COLUMN(INDIRECT("tblData[[Given Name]]")),0),"")</f>
        <v/>
      </c>
      <c r="D86" s="262" t="str">
        <f ca="1">IFERROR(VLOOKUP('Data Entry Form'!$CG93,tblData[],COLUMN(INDIRECT("tblData[[Position]]")),0),"")</f>
        <v/>
      </c>
      <c r="E86" s="262" t="str">
        <f ca="1">IFERROR(VLOOKUP('Data Entry Form'!$CG93,tblData[],COLUMN(INDIRECT("tblData[[Gender]]")),0),"")</f>
        <v/>
      </c>
      <c r="F86" s="267" t="str">
        <f ca="1">IFERROR(IF(VLOOKUP('Data Entry Form'!$CG93,tblData[],COLUMN(INDIRECT("tblData[[Day 1]]")),0)=0,"",VLOOKUP('Data Entry Form'!$CG93,tblData[],COLUMN(INDIRECT("tblData[[Day 1]]")),0)),"")</f>
        <v/>
      </c>
      <c r="G86" s="267" t="str">
        <f ca="1">IFERROR(IF(VLOOKUP('Data Entry Form'!$CG93,tblData[],COLUMN(INDIRECT("tblData[[Day 2]]")),0)=0,"",VLOOKUP('Data Entry Form'!$CG93,tblData[],COLUMN(INDIRECT("tblData[[Day 2]]")),0)),"")</f>
        <v/>
      </c>
      <c r="H86" s="267" t="str">
        <f ca="1">IFERROR(IF(VLOOKUP('Data Entry Form'!$CG93,tblData[],COLUMN(INDIRECT("tblData[[Day 3]]")),0)=0,"",VLOOKUP('Data Entry Form'!$CG93,tblData[],COLUMN(INDIRECT("tblData[[Day 3]]")),0)),"")</f>
        <v/>
      </c>
      <c r="I86" s="267" t="str">
        <f ca="1">IFERROR(IF(VLOOKUP('Data Entry Form'!$CG93,tblData[],COLUMN(INDIRECT("tblData[[Day 4]]")),0)=0,"",VLOOKUP('Data Entry Form'!$CG93,tblData[],COLUMN(INDIRECT("tblData[[Day 4]]")),0)),"")</f>
        <v/>
      </c>
      <c r="J86" s="267" t="str">
        <f ca="1">IFERROR(IF(VLOOKUP('Data Entry Form'!$CG93,tblData[],COLUMN(INDIRECT("tblData[[Day 5]]")),0)=0,"",VLOOKUP('Data Entry Form'!$CG93,tblData[],COLUMN(INDIRECT("tblData[[Day 5]]")),0)),"")</f>
        <v/>
      </c>
      <c r="K86" s="267" t="str">
        <f ca="1">IFERROR(IF(VLOOKUP('Data Entry Form'!$CG93,tblData[],COLUMN(INDIRECT("tblData[[Day 6]]")),0)=0,"",VLOOKUP('Data Entry Form'!$CG93,tblData[],COLUMN(INDIRECT("tblData[[Day 6]]")),0)),"")</f>
        <v/>
      </c>
      <c r="L86" s="267" t="str">
        <f ca="1">IFERROR(IF(VLOOKUP('Data Entry Form'!$CG93,tblData[],COLUMN(INDIRECT("tblData[[Day 7]]")),0)=0,"",VLOOKUP('Data Entry Form'!$CG93,tblData[],COLUMN(INDIRECT("tblData[[Day 7]]")),0)),"")</f>
        <v/>
      </c>
      <c r="M86" s="267" t="str">
        <f ca="1">IFERROR(IF(VLOOKUP('Data Entry Form'!$CG93,tblData[],COLUMN(INDIRECT("tblData[[Day 8]]")),0)=0,"",VLOOKUP('Data Entry Form'!$CG93,tblData[],COLUMN(INDIRECT("tblData[[Day 8]]")),0)),"")</f>
        <v/>
      </c>
      <c r="N86" s="267" t="str">
        <f ca="1">IFERROR(IF(VLOOKUP('Data Entry Form'!$CG93,tblData[],COLUMN(INDIRECT("tblData[[Day 9]]")),0)=0,"",VLOOKUP('Data Entry Form'!$CG93,tblData[],COLUMN(INDIRECT("tblData[[Day 9]]")),0)),"")</f>
        <v/>
      </c>
    </row>
    <row r="87" spans="1:14" s="125" customFormat="1" ht="32.1" customHeight="1">
      <c r="A87" s="261" t="str">
        <f ca="1">IFERROR(VLOOKUP('Data Entry Form'!$CG94,tblData[],COLUMN(INDIRECT("tblData[[No]]")),0),"")</f>
        <v/>
      </c>
      <c r="B87" s="262" t="str">
        <f ca="1">IFERROR(VLOOKUP('Data Entry Form'!$CG94,tblData[],COLUMN(INDIRECT("tblData[[Surname]]")),0),"")</f>
        <v/>
      </c>
      <c r="C87" s="262" t="str">
        <f ca="1">IFERROR(VLOOKUP('Data Entry Form'!$CG94,tblData[],COLUMN(INDIRECT("tblData[[Given Name]]")),0),"")</f>
        <v/>
      </c>
      <c r="D87" s="262" t="str">
        <f ca="1">IFERROR(VLOOKUP('Data Entry Form'!$CG94,tblData[],COLUMN(INDIRECT("tblData[[Position]]")),0),"")</f>
        <v/>
      </c>
      <c r="E87" s="262" t="str">
        <f ca="1">IFERROR(VLOOKUP('Data Entry Form'!$CG94,tblData[],COLUMN(INDIRECT("tblData[[Gender]]")),0),"")</f>
        <v/>
      </c>
      <c r="F87" s="267" t="str">
        <f ca="1">IFERROR(IF(VLOOKUP('Data Entry Form'!$CG94,tblData[],COLUMN(INDIRECT("tblData[[Day 1]]")),0)=0,"",VLOOKUP('Data Entry Form'!$CG94,tblData[],COLUMN(INDIRECT("tblData[[Day 1]]")),0)),"")</f>
        <v/>
      </c>
      <c r="G87" s="267" t="str">
        <f ca="1">IFERROR(IF(VLOOKUP('Data Entry Form'!$CG94,tblData[],COLUMN(INDIRECT("tblData[[Day 2]]")),0)=0,"",VLOOKUP('Data Entry Form'!$CG94,tblData[],COLUMN(INDIRECT("tblData[[Day 2]]")),0)),"")</f>
        <v/>
      </c>
      <c r="H87" s="267" t="str">
        <f ca="1">IFERROR(IF(VLOOKUP('Data Entry Form'!$CG94,tblData[],COLUMN(INDIRECT("tblData[[Day 3]]")),0)=0,"",VLOOKUP('Data Entry Form'!$CG94,tblData[],COLUMN(INDIRECT("tblData[[Day 3]]")),0)),"")</f>
        <v/>
      </c>
      <c r="I87" s="267" t="str">
        <f ca="1">IFERROR(IF(VLOOKUP('Data Entry Form'!$CG94,tblData[],COLUMN(INDIRECT("tblData[[Day 4]]")),0)=0,"",VLOOKUP('Data Entry Form'!$CG94,tblData[],COLUMN(INDIRECT("tblData[[Day 4]]")),0)),"")</f>
        <v/>
      </c>
      <c r="J87" s="267" t="str">
        <f ca="1">IFERROR(IF(VLOOKUP('Data Entry Form'!$CG94,tblData[],COLUMN(INDIRECT("tblData[[Day 5]]")),0)=0,"",VLOOKUP('Data Entry Form'!$CG94,tblData[],COLUMN(INDIRECT("tblData[[Day 5]]")),0)),"")</f>
        <v/>
      </c>
      <c r="K87" s="267" t="str">
        <f ca="1">IFERROR(IF(VLOOKUP('Data Entry Form'!$CG94,tblData[],COLUMN(INDIRECT("tblData[[Day 6]]")),0)=0,"",VLOOKUP('Data Entry Form'!$CG94,tblData[],COLUMN(INDIRECT("tblData[[Day 6]]")),0)),"")</f>
        <v/>
      </c>
      <c r="L87" s="267" t="str">
        <f ca="1">IFERROR(IF(VLOOKUP('Data Entry Form'!$CG94,tblData[],COLUMN(INDIRECT("tblData[[Day 7]]")),0)=0,"",VLOOKUP('Data Entry Form'!$CG94,tblData[],COLUMN(INDIRECT("tblData[[Day 7]]")),0)),"")</f>
        <v/>
      </c>
      <c r="M87" s="267" t="str">
        <f ca="1">IFERROR(IF(VLOOKUP('Data Entry Form'!$CG94,tblData[],COLUMN(INDIRECT("tblData[[Day 8]]")),0)=0,"",VLOOKUP('Data Entry Form'!$CG94,tblData[],COLUMN(INDIRECT("tblData[[Day 8]]")),0)),"")</f>
        <v/>
      </c>
      <c r="N87" s="267" t="str">
        <f ca="1">IFERROR(IF(VLOOKUP('Data Entry Form'!$CG94,tblData[],COLUMN(INDIRECT("tblData[[Day 9]]")),0)=0,"",VLOOKUP('Data Entry Form'!$CG94,tblData[],COLUMN(INDIRECT("tblData[[Day 9]]")),0)),"")</f>
        <v/>
      </c>
    </row>
    <row r="88" spans="1:14" s="125" customFormat="1" ht="32.1" customHeight="1">
      <c r="A88" s="261" t="str">
        <f ca="1">IFERROR(VLOOKUP('Data Entry Form'!$CG95,tblData[],COLUMN(INDIRECT("tblData[[No]]")),0),"")</f>
        <v/>
      </c>
      <c r="B88" s="262" t="str">
        <f ca="1">IFERROR(VLOOKUP('Data Entry Form'!$CG95,tblData[],COLUMN(INDIRECT("tblData[[Surname]]")),0),"")</f>
        <v/>
      </c>
      <c r="C88" s="262" t="str">
        <f ca="1">IFERROR(VLOOKUP('Data Entry Form'!$CG95,tblData[],COLUMN(INDIRECT("tblData[[Given Name]]")),0),"")</f>
        <v/>
      </c>
      <c r="D88" s="262" t="str">
        <f ca="1">IFERROR(VLOOKUP('Data Entry Form'!$CG95,tblData[],COLUMN(INDIRECT("tblData[[Position]]")),0),"")</f>
        <v/>
      </c>
      <c r="E88" s="262" t="str">
        <f ca="1">IFERROR(VLOOKUP('Data Entry Form'!$CG95,tblData[],COLUMN(INDIRECT("tblData[[Gender]]")),0),"")</f>
        <v/>
      </c>
      <c r="F88" s="267" t="str">
        <f ca="1">IFERROR(IF(VLOOKUP('Data Entry Form'!$CG95,tblData[],COLUMN(INDIRECT("tblData[[Day 1]]")),0)=0,"",VLOOKUP('Data Entry Form'!$CG95,tblData[],COLUMN(INDIRECT("tblData[[Day 1]]")),0)),"")</f>
        <v/>
      </c>
      <c r="G88" s="267" t="str">
        <f ca="1">IFERROR(IF(VLOOKUP('Data Entry Form'!$CG95,tblData[],COLUMN(INDIRECT("tblData[[Day 2]]")),0)=0,"",VLOOKUP('Data Entry Form'!$CG95,tblData[],COLUMN(INDIRECT("tblData[[Day 2]]")),0)),"")</f>
        <v/>
      </c>
      <c r="H88" s="267" t="str">
        <f ca="1">IFERROR(IF(VLOOKUP('Data Entry Form'!$CG95,tblData[],COLUMN(INDIRECT("tblData[[Day 3]]")),0)=0,"",VLOOKUP('Data Entry Form'!$CG95,tblData[],COLUMN(INDIRECT("tblData[[Day 3]]")),0)),"")</f>
        <v/>
      </c>
      <c r="I88" s="267" t="str">
        <f ca="1">IFERROR(IF(VLOOKUP('Data Entry Form'!$CG95,tblData[],COLUMN(INDIRECT("tblData[[Day 4]]")),0)=0,"",VLOOKUP('Data Entry Form'!$CG95,tblData[],COLUMN(INDIRECT("tblData[[Day 4]]")),0)),"")</f>
        <v/>
      </c>
      <c r="J88" s="267" t="str">
        <f ca="1">IFERROR(IF(VLOOKUP('Data Entry Form'!$CG95,tblData[],COLUMN(INDIRECT("tblData[[Day 5]]")),0)=0,"",VLOOKUP('Data Entry Form'!$CG95,tblData[],COLUMN(INDIRECT("tblData[[Day 5]]")),0)),"")</f>
        <v/>
      </c>
      <c r="K88" s="267" t="str">
        <f ca="1">IFERROR(IF(VLOOKUP('Data Entry Form'!$CG95,tblData[],COLUMN(INDIRECT("tblData[[Day 6]]")),0)=0,"",VLOOKUP('Data Entry Form'!$CG95,tblData[],COLUMN(INDIRECT("tblData[[Day 6]]")),0)),"")</f>
        <v/>
      </c>
      <c r="L88" s="267" t="str">
        <f ca="1">IFERROR(IF(VLOOKUP('Data Entry Form'!$CG95,tblData[],COLUMN(INDIRECT("tblData[[Day 7]]")),0)=0,"",VLOOKUP('Data Entry Form'!$CG95,tblData[],COLUMN(INDIRECT("tblData[[Day 7]]")),0)),"")</f>
        <v/>
      </c>
      <c r="M88" s="267" t="str">
        <f ca="1">IFERROR(IF(VLOOKUP('Data Entry Form'!$CG95,tblData[],COLUMN(INDIRECT("tblData[[Day 8]]")),0)=0,"",VLOOKUP('Data Entry Form'!$CG95,tblData[],COLUMN(INDIRECT("tblData[[Day 8]]")),0)),"")</f>
        <v/>
      </c>
      <c r="N88" s="267" t="str">
        <f ca="1">IFERROR(IF(VLOOKUP('Data Entry Form'!$CG95,tblData[],COLUMN(INDIRECT("tblData[[Day 9]]")),0)=0,"",VLOOKUP('Data Entry Form'!$CG95,tblData[],COLUMN(INDIRECT("tblData[[Day 9]]")),0)),"")</f>
        <v/>
      </c>
    </row>
    <row r="89" spans="1:14" s="125" customFormat="1" ht="32.1" customHeight="1">
      <c r="A89" s="261" t="str">
        <f ca="1">IFERROR(VLOOKUP('Data Entry Form'!$CG96,tblData[],COLUMN(INDIRECT("tblData[[No]]")),0),"")</f>
        <v/>
      </c>
      <c r="B89" s="262" t="str">
        <f ca="1">IFERROR(VLOOKUP('Data Entry Form'!$CG96,tblData[],COLUMN(INDIRECT("tblData[[Surname]]")),0),"")</f>
        <v/>
      </c>
      <c r="C89" s="262" t="str">
        <f ca="1">IFERROR(VLOOKUP('Data Entry Form'!$CG96,tblData[],COLUMN(INDIRECT("tblData[[Given Name]]")),0),"")</f>
        <v/>
      </c>
      <c r="D89" s="262" t="str">
        <f ca="1">IFERROR(VLOOKUP('Data Entry Form'!$CG96,tblData[],COLUMN(INDIRECT("tblData[[Position]]")),0),"")</f>
        <v/>
      </c>
      <c r="E89" s="262" t="str">
        <f ca="1">IFERROR(VLOOKUP('Data Entry Form'!$CG96,tblData[],COLUMN(INDIRECT("tblData[[Gender]]")),0),"")</f>
        <v/>
      </c>
      <c r="F89" s="267" t="str">
        <f ca="1">IFERROR(IF(VLOOKUP('Data Entry Form'!$CG96,tblData[],COLUMN(INDIRECT("tblData[[Day 1]]")),0)=0,"",VLOOKUP('Data Entry Form'!$CG96,tblData[],COLUMN(INDIRECT("tblData[[Day 1]]")),0)),"")</f>
        <v/>
      </c>
      <c r="G89" s="267" t="str">
        <f ca="1">IFERROR(IF(VLOOKUP('Data Entry Form'!$CG96,tblData[],COLUMN(INDIRECT("tblData[[Day 2]]")),0)=0,"",VLOOKUP('Data Entry Form'!$CG96,tblData[],COLUMN(INDIRECT("tblData[[Day 2]]")),0)),"")</f>
        <v/>
      </c>
      <c r="H89" s="267" t="str">
        <f ca="1">IFERROR(IF(VLOOKUP('Data Entry Form'!$CG96,tblData[],COLUMN(INDIRECT("tblData[[Day 3]]")),0)=0,"",VLOOKUP('Data Entry Form'!$CG96,tblData[],COLUMN(INDIRECT("tblData[[Day 3]]")),0)),"")</f>
        <v/>
      </c>
      <c r="I89" s="267" t="str">
        <f ca="1">IFERROR(IF(VLOOKUP('Data Entry Form'!$CG96,tblData[],COLUMN(INDIRECT("tblData[[Day 4]]")),0)=0,"",VLOOKUP('Data Entry Form'!$CG96,tblData[],COLUMN(INDIRECT("tblData[[Day 4]]")),0)),"")</f>
        <v/>
      </c>
      <c r="J89" s="267" t="str">
        <f ca="1">IFERROR(IF(VLOOKUP('Data Entry Form'!$CG96,tblData[],COLUMN(INDIRECT("tblData[[Day 5]]")),0)=0,"",VLOOKUP('Data Entry Form'!$CG96,tblData[],COLUMN(INDIRECT("tblData[[Day 5]]")),0)),"")</f>
        <v/>
      </c>
      <c r="K89" s="267" t="str">
        <f ca="1">IFERROR(IF(VLOOKUP('Data Entry Form'!$CG96,tblData[],COLUMN(INDIRECT("tblData[[Day 6]]")),0)=0,"",VLOOKUP('Data Entry Form'!$CG96,tblData[],COLUMN(INDIRECT("tblData[[Day 6]]")),0)),"")</f>
        <v/>
      </c>
      <c r="L89" s="267" t="str">
        <f ca="1">IFERROR(IF(VLOOKUP('Data Entry Form'!$CG96,tblData[],COLUMN(INDIRECT("tblData[[Day 7]]")),0)=0,"",VLOOKUP('Data Entry Form'!$CG96,tblData[],COLUMN(INDIRECT("tblData[[Day 7]]")),0)),"")</f>
        <v/>
      </c>
      <c r="M89" s="267" t="str">
        <f ca="1">IFERROR(IF(VLOOKUP('Data Entry Form'!$CG96,tblData[],COLUMN(INDIRECT("tblData[[Day 8]]")),0)=0,"",VLOOKUP('Data Entry Form'!$CG96,tblData[],COLUMN(INDIRECT("tblData[[Day 8]]")),0)),"")</f>
        <v/>
      </c>
      <c r="N89" s="267" t="str">
        <f ca="1">IFERROR(IF(VLOOKUP('Data Entry Form'!$CG96,tblData[],COLUMN(INDIRECT("tblData[[Day 9]]")),0)=0,"",VLOOKUP('Data Entry Form'!$CG96,tblData[],COLUMN(INDIRECT("tblData[[Day 9]]")),0)),"")</f>
        <v/>
      </c>
    </row>
    <row r="90" spans="1:14" s="125" customFormat="1" ht="32.1" customHeight="1">
      <c r="A90" s="261" t="str">
        <f ca="1">IFERROR(VLOOKUP('Data Entry Form'!$CG97,tblData[],COLUMN(INDIRECT("tblData[[No]]")),0),"")</f>
        <v/>
      </c>
      <c r="B90" s="262" t="str">
        <f ca="1">IFERROR(VLOOKUP('Data Entry Form'!$CG97,tblData[],COLUMN(INDIRECT("tblData[[Surname]]")),0),"")</f>
        <v/>
      </c>
      <c r="C90" s="262" t="str">
        <f ca="1">IFERROR(VLOOKUP('Data Entry Form'!$CG97,tblData[],COLUMN(INDIRECT("tblData[[Given Name]]")),0),"")</f>
        <v/>
      </c>
      <c r="D90" s="262" t="str">
        <f ca="1">IFERROR(VLOOKUP('Data Entry Form'!$CG97,tblData[],COLUMN(INDIRECT("tblData[[Position]]")),0),"")</f>
        <v/>
      </c>
      <c r="E90" s="262" t="str">
        <f ca="1">IFERROR(VLOOKUP('Data Entry Form'!$CG97,tblData[],COLUMN(INDIRECT("tblData[[Gender]]")),0),"")</f>
        <v/>
      </c>
      <c r="F90" s="267" t="str">
        <f ca="1">IFERROR(IF(VLOOKUP('Data Entry Form'!$CG97,tblData[],COLUMN(INDIRECT("tblData[[Day 1]]")),0)=0,"",VLOOKUP('Data Entry Form'!$CG97,tblData[],COLUMN(INDIRECT("tblData[[Day 1]]")),0)),"")</f>
        <v/>
      </c>
      <c r="G90" s="267" t="str">
        <f ca="1">IFERROR(IF(VLOOKUP('Data Entry Form'!$CG97,tblData[],COLUMN(INDIRECT("tblData[[Day 2]]")),0)=0,"",VLOOKUP('Data Entry Form'!$CG97,tblData[],COLUMN(INDIRECT("tblData[[Day 2]]")),0)),"")</f>
        <v/>
      </c>
      <c r="H90" s="267" t="str">
        <f ca="1">IFERROR(IF(VLOOKUP('Data Entry Form'!$CG97,tblData[],COLUMN(INDIRECT("tblData[[Day 3]]")),0)=0,"",VLOOKUP('Data Entry Form'!$CG97,tblData[],COLUMN(INDIRECT("tblData[[Day 3]]")),0)),"")</f>
        <v/>
      </c>
      <c r="I90" s="267" t="str">
        <f ca="1">IFERROR(IF(VLOOKUP('Data Entry Form'!$CG97,tblData[],COLUMN(INDIRECT("tblData[[Day 4]]")),0)=0,"",VLOOKUP('Data Entry Form'!$CG97,tblData[],COLUMN(INDIRECT("tblData[[Day 4]]")),0)),"")</f>
        <v/>
      </c>
      <c r="J90" s="267" t="str">
        <f ca="1">IFERROR(IF(VLOOKUP('Data Entry Form'!$CG97,tblData[],COLUMN(INDIRECT("tblData[[Day 5]]")),0)=0,"",VLOOKUP('Data Entry Form'!$CG97,tblData[],COLUMN(INDIRECT("tblData[[Day 5]]")),0)),"")</f>
        <v/>
      </c>
      <c r="K90" s="267" t="str">
        <f ca="1">IFERROR(IF(VLOOKUP('Data Entry Form'!$CG97,tblData[],COLUMN(INDIRECT("tblData[[Day 6]]")),0)=0,"",VLOOKUP('Data Entry Form'!$CG97,tblData[],COLUMN(INDIRECT("tblData[[Day 6]]")),0)),"")</f>
        <v/>
      </c>
      <c r="L90" s="267" t="str">
        <f ca="1">IFERROR(IF(VLOOKUP('Data Entry Form'!$CG97,tblData[],COLUMN(INDIRECT("tblData[[Day 7]]")),0)=0,"",VLOOKUP('Data Entry Form'!$CG97,tblData[],COLUMN(INDIRECT("tblData[[Day 7]]")),0)),"")</f>
        <v/>
      </c>
      <c r="M90" s="267" t="str">
        <f ca="1">IFERROR(IF(VLOOKUP('Data Entry Form'!$CG97,tblData[],COLUMN(INDIRECT("tblData[[Day 8]]")),0)=0,"",VLOOKUP('Data Entry Form'!$CG97,tblData[],COLUMN(INDIRECT("tblData[[Day 8]]")),0)),"")</f>
        <v/>
      </c>
      <c r="N90" s="267" t="str">
        <f ca="1">IFERROR(IF(VLOOKUP('Data Entry Form'!$CG97,tblData[],COLUMN(INDIRECT("tblData[[Day 9]]")),0)=0,"",VLOOKUP('Data Entry Form'!$CG97,tblData[],COLUMN(INDIRECT("tblData[[Day 9]]")),0)),"")</f>
        <v/>
      </c>
    </row>
    <row r="91" spans="1:14" s="125" customFormat="1" ht="32.1" customHeight="1">
      <c r="A91" s="261" t="str">
        <f ca="1">IFERROR(VLOOKUP('Data Entry Form'!$CG98,tblData[],COLUMN(INDIRECT("tblData[[No]]")),0),"")</f>
        <v/>
      </c>
      <c r="B91" s="262" t="str">
        <f ca="1">IFERROR(VLOOKUP('Data Entry Form'!$CG98,tblData[],COLUMN(INDIRECT("tblData[[Surname]]")),0),"")</f>
        <v/>
      </c>
      <c r="C91" s="262" t="str">
        <f ca="1">IFERROR(VLOOKUP('Data Entry Form'!$CG98,tblData[],COLUMN(INDIRECT("tblData[[Given Name]]")),0),"")</f>
        <v/>
      </c>
      <c r="D91" s="262" t="str">
        <f ca="1">IFERROR(VLOOKUP('Data Entry Form'!$CG98,tblData[],COLUMN(INDIRECT("tblData[[Position]]")),0),"")</f>
        <v/>
      </c>
      <c r="E91" s="262" t="str">
        <f ca="1">IFERROR(VLOOKUP('Data Entry Form'!$CG98,tblData[],COLUMN(INDIRECT("tblData[[Gender]]")),0),"")</f>
        <v/>
      </c>
      <c r="F91" s="267" t="str">
        <f ca="1">IFERROR(IF(VLOOKUP('Data Entry Form'!$CG98,tblData[],COLUMN(INDIRECT("tblData[[Day 1]]")),0)=0,"",VLOOKUP('Data Entry Form'!$CG98,tblData[],COLUMN(INDIRECT("tblData[[Day 1]]")),0)),"")</f>
        <v/>
      </c>
      <c r="G91" s="267" t="str">
        <f ca="1">IFERROR(IF(VLOOKUP('Data Entry Form'!$CG98,tblData[],COLUMN(INDIRECT("tblData[[Day 2]]")),0)=0,"",VLOOKUP('Data Entry Form'!$CG98,tblData[],COLUMN(INDIRECT("tblData[[Day 2]]")),0)),"")</f>
        <v/>
      </c>
      <c r="H91" s="267" t="str">
        <f ca="1">IFERROR(IF(VLOOKUP('Data Entry Form'!$CG98,tblData[],COLUMN(INDIRECT("tblData[[Day 3]]")),0)=0,"",VLOOKUP('Data Entry Form'!$CG98,tblData[],COLUMN(INDIRECT("tblData[[Day 3]]")),0)),"")</f>
        <v/>
      </c>
      <c r="I91" s="267" t="str">
        <f ca="1">IFERROR(IF(VLOOKUP('Data Entry Form'!$CG98,tblData[],COLUMN(INDIRECT("tblData[[Day 4]]")),0)=0,"",VLOOKUP('Data Entry Form'!$CG98,tblData[],COLUMN(INDIRECT("tblData[[Day 4]]")),0)),"")</f>
        <v/>
      </c>
      <c r="J91" s="267" t="str">
        <f ca="1">IFERROR(IF(VLOOKUP('Data Entry Form'!$CG98,tblData[],COLUMN(INDIRECT("tblData[[Day 5]]")),0)=0,"",VLOOKUP('Data Entry Form'!$CG98,tblData[],COLUMN(INDIRECT("tblData[[Day 5]]")),0)),"")</f>
        <v/>
      </c>
      <c r="K91" s="267" t="str">
        <f ca="1">IFERROR(IF(VLOOKUP('Data Entry Form'!$CG98,tblData[],COLUMN(INDIRECT("tblData[[Day 6]]")),0)=0,"",VLOOKUP('Data Entry Form'!$CG98,tblData[],COLUMN(INDIRECT("tblData[[Day 6]]")),0)),"")</f>
        <v/>
      </c>
      <c r="L91" s="267" t="str">
        <f ca="1">IFERROR(IF(VLOOKUP('Data Entry Form'!$CG98,tblData[],COLUMN(INDIRECT("tblData[[Day 7]]")),0)=0,"",VLOOKUP('Data Entry Form'!$CG98,tblData[],COLUMN(INDIRECT("tblData[[Day 7]]")),0)),"")</f>
        <v/>
      </c>
      <c r="M91" s="267" t="str">
        <f ca="1">IFERROR(IF(VLOOKUP('Data Entry Form'!$CG98,tblData[],COLUMN(INDIRECT("tblData[[Day 8]]")),0)=0,"",VLOOKUP('Data Entry Form'!$CG98,tblData[],COLUMN(INDIRECT("tblData[[Day 8]]")),0)),"")</f>
        <v/>
      </c>
      <c r="N91" s="267" t="str">
        <f ca="1">IFERROR(IF(VLOOKUP('Data Entry Form'!$CG98,tblData[],COLUMN(INDIRECT("tblData[[Day 9]]")),0)=0,"",VLOOKUP('Data Entry Form'!$CG98,tblData[],COLUMN(INDIRECT("tblData[[Day 9]]")),0)),"")</f>
        <v/>
      </c>
    </row>
    <row r="92" spans="1:14" s="125" customFormat="1" ht="32.1" customHeight="1">
      <c r="A92" s="261" t="str">
        <f ca="1">IFERROR(VLOOKUP('Data Entry Form'!$CG99,tblData[],COLUMN(INDIRECT("tblData[[No]]")),0),"")</f>
        <v/>
      </c>
      <c r="B92" s="262" t="str">
        <f ca="1">IFERROR(VLOOKUP('Data Entry Form'!$CG99,tblData[],COLUMN(INDIRECT("tblData[[Surname]]")),0),"")</f>
        <v/>
      </c>
      <c r="C92" s="262" t="str">
        <f ca="1">IFERROR(VLOOKUP('Data Entry Form'!$CG99,tblData[],COLUMN(INDIRECT("tblData[[Given Name]]")),0),"")</f>
        <v/>
      </c>
      <c r="D92" s="262" t="str">
        <f ca="1">IFERROR(VLOOKUP('Data Entry Form'!$CG99,tblData[],COLUMN(INDIRECT("tblData[[Position]]")),0),"")</f>
        <v/>
      </c>
      <c r="E92" s="262" t="str">
        <f ca="1">IFERROR(VLOOKUP('Data Entry Form'!$CG99,tblData[],COLUMN(INDIRECT("tblData[[Gender]]")),0),"")</f>
        <v/>
      </c>
      <c r="F92" s="267" t="str">
        <f ca="1">IFERROR(IF(VLOOKUP('Data Entry Form'!$CG99,tblData[],COLUMN(INDIRECT("tblData[[Day 1]]")),0)=0,"",VLOOKUP('Data Entry Form'!$CG99,tblData[],COLUMN(INDIRECT("tblData[[Day 1]]")),0)),"")</f>
        <v/>
      </c>
      <c r="G92" s="267" t="str">
        <f ca="1">IFERROR(IF(VLOOKUP('Data Entry Form'!$CG99,tblData[],COLUMN(INDIRECT("tblData[[Day 2]]")),0)=0,"",VLOOKUP('Data Entry Form'!$CG99,tblData[],COLUMN(INDIRECT("tblData[[Day 2]]")),0)),"")</f>
        <v/>
      </c>
      <c r="H92" s="267" t="str">
        <f ca="1">IFERROR(IF(VLOOKUP('Data Entry Form'!$CG99,tblData[],COLUMN(INDIRECT("tblData[[Day 3]]")),0)=0,"",VLOOKUP('Data Entry Form'!$CG99,tblData[],COLUMN(INDIRECT("tblData[[Day 3]]")),0)),"")</f>
        <v/>
      </c>
      <c r="I92" s="267" t="str">
        <f ca="1">IFERROR(IF(VLOOKUP('Data Entry Form'!$CG99,tblData[],COLUMN(INDIRECT("tblData[[Day 4]]")),0)=0,"",VLOOKUP('Data Entry Form'!$CG99,tblData[],COLUMN(INDIRECT("tblData[[Day 4]]")),0)),"")</f>
        <v/>
      </c>
      <c r="J92" s="267" t="str">
        <f ca="1">IFERROR(IF(VLOOKUP('Data Entry Form'!$CG99,tblData[],COLUMN(INDIRECT("tblData[[Day 5]]")),0)=0,"",VLOOKUP('Data Entry Form'!$CG99,tblData[],COLUMN(INDIRECT("tblData[[Day 5]]")),0)),"")</f>
        <v/>
      </c>
      <c r="K92" s="267" t="str">
        <f ca="1">IFERROR(IF(VLOOKUP('Data Entry Form'!$CG99,tblData[],COLUMN(INDIRECT("tblData[[Day 6]]")),0)=0,"",VLOOKUP('Data Entry Form'!$CG99,tblData[],COLUMN(INDIRECT("tblData[[Day 6]]")),0)),"")</f>
        <v/>
      </c>
      <c r="L92" s="267" t="str">
        <f ca="1">IFERROR(IF(VLOOKUP('Data Entry Form'!$CG99,tblData[],COLUMN(INDIRECT("tblData[[Day 7]]")),0)=0,"",VLOOKUP('Data Entry Form'!$CG99,tblData[],COLUMN(INDIRECT("tblData[[Day 7]]")),0)),"")</f>
        <v/>
      </c>
      <c r="M92" s="267" t="str">
        <f ca="1">IFERROR(IF(VLOOKUP('Data Entry Form'!$CG99,tblData[],COLUMN(INDIRECT("tblData[[Day 8]]")),0)=0,"",VLOOKUP('Data Entry Form'!$CG99,tblData[],COLUMN(INDIRECT("tblData[[Day 8]]")),0)),"")</f>
        <v/>
      </c>
      <c r="N92" s="267" t="str">
        <f ca="1">IFERROR(IF(VLOOKUP('Data Entry Form'!$CG99,tblData[],COLUMN(INDIRECT("tblData[[Day 9]]")),0)=0,"",VLOOKUP('Data Entry Form'!$CG99,tblData[],COLUMN(INDIRECT("tblData[[Day 9]]")),0)),"")</f>
        <v/>
      </c>
    </row>
    <row r="93" spans="1:14" s="125" customFormat="1" ht="32.1" customHeight="1">
      <c r="A93" s="261" t="str">
        <f ca="1">IFERROR(VLOOKUP('Data Entry Form'!$CG100,tblData[],COLUMN(INDIRECT("tblData[[No]]")),0),"")</f>
        <v/>
      </c>
      <c r="B93" s="262" t="str">
        <f ca="1">IFERROR(VLOOKUP('Data Entry Form'!$CG100,tblData[],COLUMN(INDIRECT("tblData[[Surname]]")),0),"")</f>
        <v/>
      </c>
      <c r="C93" s="262" t="str">
        <f ca="1">IFERROR(VLOOKUP('Data Entry Form'!$CG100,tblData[],COLUMN(INDIRECT("tblData[[Given Name]]")),0),"")</f>
        <v/>
      </c>
      <c r="D93" s="262" t="str">
        <f ca="1">IFERROR(VLOOKUP('Data Entry Form'!$CG100,tblData[],COLUMN(INDIRECT("tblData[[Position]]")),0),"")</f>
        <v/>
      </c>
      <c r="E93" s="262" t="str">
        <f ca="1">IFERROR(VLOOKUP('Data Entry Form'!$CG100,tblData[],COLUMN(INDIRECT("tblData[[Gender]]")),0),"")</f>
        <v/>
      </c>
      <c r="F93" s="267" t="str">
        <f ca="1">IFERROR(IF(VLOOKUP('Data Entry Form'!$CG100,tblData[],COLUMN(INDIRECT("tblData[[Day 1]]")),0)=0,"",VLOOKUP('Data Entry Form'!$CG100,tblData[],COLUMN(INDIRECT("tblData[[Day 1]]")),0)),"")</f>
        <v/>
      </c>
      <c r="G93" s="267" t="str">
        <f ca="1">IFERROR(IF(VLOOKUP('Data Entry Form'!$CG100,tblData[],COLUMN(INDIRECT("tblData[[Day 2]]")),0)=0,"",VLOOKUP('Data Entry Form'!$CG100,tblData[],COLUMN(INDIRECT("tblData[[Day 2]]")),0)),"")</f>
        <v/>
      </c>
      <c r="H93" s="267" t="str">
        <f ca="1">IFERROR(IF(VLOOKUP('Data Entry Form'!$CG100,tblData[],COLUMN(INDIRECT("tblData[[Day 3]]")),0)=0,"",VLOOKUP('Data Entry Form'!$CG100,tblData[],COLUMN(INDIRECT("tblData[[Day 3]]")),0)),"")</f>
        <v/>
      </c>
      <c r="I93" s="267" t="str">
        <f ca="1">IFERROR(IF(VLOOKUP('Data Entry Form'!$CG100,tblData[],COLUMN(INDIRECT("tblData[[Day 4]]")),0)=0,"",VLOOKUP('Data Entry Form'!$CG100,tblData[],COLUMN(INDIRECT("tblData[[Day 4]]")),0)),"")</f>
        <v/>
      </c>
      <c r="J93" s="267" t="str">
        <f ca="1">IFERROR(IF(VLOOKUP('Data Entry Form'!$CG100,tblData[],COLUMN(INDIRECT("tblData[[Day 5]]")),0)=0,"",VLOOKUP('Data Entry Form'!$CG100,tblData[],COLUMN(INDIRECT("tblData[[Day 5]]")),0)),"")</f>
        <v/>
      </c>
      <c r="K93" s="267" t="str">
        <f ca="1">IFERROR(IF(VLOOKUP('Data Entry Form'!$CG100,tblData[],COLUMN(INDIRECT("tblData[[Day 6]]")),0)=0,"",VLOOKUP('Data Entry Form'!$CG100,tblData[],COLUMN(INDIRECT("tblData[[Day 6]]")),0)),"")</f>
        <v/>
      </c>
      <c r="L93" s="267" t="str">
        <f ca="1">IFERROR(IF(VLOOKUP('Data Entry Form'!$CG100,tblData[],COLUMN(INDIRECT("tblData[[Day 7]]")),0)=0,"",VLOOKUP('Data Entry Form'!$CG100,tblData[],COLUMN(INDIRECT("tblData[[Day 7]]")),0)),"")</f>
        <v/>
      </c>
      <c r="M93" s="267" t="str">
        <f ca="1">IFERROR(IF(VLOOKUP('Data Entry Form'!$CG100,tblData[],COLUMN(INDIRECT("tblData[[Day 8]]")),0)=0,"",VLOOKUP('Data Entry Form'!$CG100,tblData[],COLUMN(INDIRECT("tblData[[Day 8]]")),0)),"")</f>
        <v/>
      </c>
      <c r="N93" s="267" t="str">
        <f ca="1">IFERROR(IF(VLOOKUP('Data Entry Form'!$CG100,tblData[],COLUMN(INDIRECT("tblData[[Day 9]]")),0)=0,"",VLOOKUP('Data Entry Form'!$CG100,tblData[],COLUMN(INDIRECT("tblData[[Day 9]]")),0)),"")</f>
        <v/>
      </c>
    </row>
    <row r="94" spans="1:14" s="125" customFormat="1" ht="32.1" customHeight="1">
      <c r="A94" s="261" t="str">
        <f ca="1">IFERROR(VLOOKUP('Data Entry Form'!$CG101,tblData[],COLUMN(INDIRECT("tblData[[No]]")),0),"")</f>
        <v/>
      </c>
      <c r="B94" s="262" t="str">
        <f ca="1">IFERROR(VLOOKUP('Data Entry Form'!$CG101,tblData[],COLUMN(INDIRECT("tblData[[Surname]]")),0),"")</f>
        <v/>
      </c>
      <c r="C94" s="262" t="str">
        <f ca="1">IFERROR(VLOOKUP('Data Entry Form'!$CG101,tblData[],COLUMN(INDIRECT("tblData[[Given Name]]")),0),"")</f>
        <v/>
      </c>
      <c r="D94" s="262" t="str">
        <f ca="1">IFERROR(VLOOKUP('Data Entry Form'!$CG101,tblData[],COLUMN(INDIRECT("tblData[[Position]]")),0),"")</f>
        <v/>
      </c>
      <c r="E94" s="262" t="str">
        <f ca="1">IFERROR(VLOOKUP('Data Entry Form'!$CG101,tblData[],COLUMN(INDIRECT("tblData[[Gender]]")),0),"")</f>
        <v/>
      </c>
      <c r="F94" s="267" t="str">
        <f ca="1">IFERROR(IF(VLOOKUP('Data Entry Form'!$CG101,tblData[],COLUMN(INDIRECT("tblData[[Day 1]]")),0)=0,"",VLOOKUP('Data Entry Form'!$CG101,tblData[],COLUMN(INDIRECT("tblData[[Day 1]]")),0)),"")</f>
        <v/>
      </c>
      <c r="G94" s="267" t="str">
        <f ca="1">IFERROR(IF(VLOOKUP('Data Entry Form'!$CG101,tblData[],COLUMN(INDIRECT("tblData[[Day 2]]")),0)=0,"",VLOOKUP('Data Entry Form'!$CG101,tblData[],COLUMN(INDIRECT("tblData[[Day 2]]")),0)),"")</f>
        <v/>
      </c>
      <c r="H94" s="267" t="str">
        <f ca="1">IFERROR(IF(VLOOKUP('Data Entry Form'!$CG101,tblData[],COLUMN(INDIRECT("tblData[[Day 3]]")),0)=0,"",VLOOKUP('Data Entry Form'!$CG101,tblData[],COLUMN(INDIRECT("tblData[[Day 3]]")),0)),"")</f>
        <v/>
      </c>
      <c r="I94" s="267" t="str">
        <f ca="1">IFERROR(IF(VLOOKUP('Data Entry Form'!$CG101,tblData[],COLUMN(INDIRECT("tblData[[Day 4]]")),0)=0,"",VLOOKUP('Data Entry Form'!$CG101,tblData[],COLUMN(INDIRECT("tblData[[Day 4]]")),0)),"")</f>
        <v/>
      </c>
      <c r="J94" s="267" t="str">
        <f ca="1">IFERROR(IF(VLOOKUP('Data Entry Form'!$CG101,tblData[],COLUMN(INDIRECT("tblData[[Day 5]]")),0)=0,"",VLOOKUP('Data Entry Form'!$CG101,tblData[],COLUMN(INDIRECT("tblData[[Day 5]]")),0)),"")</f>
        <v/>
      </c>
      <c r="K94" s="267" t="str">
        <f ca="1">IFERROR(IF(VLOOKUP('Data Entry Form'!$CG101,tblData[],COLUMN(INDIRECT("tblData[[Day 6]]")),0)=0,"",VLOOKUP('Data Entry Form'!$CG101,tblData[],COLUMN(INDIRECT("tblData[[Day 6]]")),0)),"")</f>
        <v/>
      </c>
      <c r="L94" s="267" t="str">
        <f ca="1">IFERROR(IF(VLOOKUP('Data Entry Form'!$CG101,tblData[],COLUMN(INDIRECT("tblData[[Day 7]]")),0)=0,"",VLOOKUP('Data Entry Form'!$CG101,tblData[],COLUMN(INDIRECT("tblData[[Day 7]]")),0)),"")</f>
        <v/>
      </c>
      <c r="M94" s="267" t="str">
        <f ca="1">IFERROR(IF(VLOOKUP('Data Entry Form'!$CG101,tblData[],COLUMN(INDIRECT("tblData[[Day 8]]")),0)=0,"",VLOOKUP('Data Entry Form'!$CG101,tblData[],COLUMN(INDIRECT("tblData[[Day 8]]")),0)),"")</f>
        <v/>
      </c>
      <c r="N94" s="267" t="str">
        <f ca="1">IFERROR(IF(VLOOKUP('Data Entry Form'!$CG101,tblData[],COLUMN(INDIRECT("tblData[[Day 9]]")),0)=0,"",VLOOKUP('Data Entry Form'!$CG101,tblData[],COLUMN(INDIRECT("tblData[[Day 9]]")),0)),"")</f>
        <v/>
      </c>
    </row>
    <row r="95" spans="1:14" s="125" customFormat="1" ht="32.1" customHeight="1">
      <c r="A95" s="261" t="str">
        <f ca="1">IFERROR(VLOOKUP('Data Entry Form'!$CG102,tblData[],COLUMN(INDIRECT("tblData[[No]]")),0),"")</f>
        <v/>
      </c>
      <c r="B95" s="262" t="str">
        <f ca="1">IFERROR(VLOOKUP('Data Entry Form'!$CG102,tblData[],COLUMN(INDIRECT("tblData[[Surname]]")),0),"")</f>
        <v/>
      </c>
      <c r="C95" s="262" t="str">
        <f ca="1">IFERROR(VLOOKUP('Data Entry Form'!$CG102,tblData[],COLUMN(INDIRECT("tblData[[Given Name]]")),0),"")</f>
        <v/>
      </c>
      <c r="D95" s="262" t="str">
        <f ca="1">IFERROR(VLOOKUP('Data Entry Form'!$CG102,tblData[],COLUMN(INDIRECT("tblData[[Position]]")),0),"")</f>
        <v/>
      </c>
      <c r="E95" s="262" t="str">
        <f ca="1">IFERROR(VLOOKUP('Data Entry Form'!$CG102,tblData[],COLUMN(INDIRECT("tblData[[Gender]]")),0),"")</f>
        <v/>
      </c>
      <c r="F95" s="267" t="str">
        <f ca="1">IFERROR(IF(VLOOKUP('Data Entry Form'!$CG102,tblData[],COLUMN(INDIRECT("tblData[[Day 1]]")),0)=0,"",VLOOKUP('Data Entry Form'!$CG102,tblData[],COLUMN(INDIRECT("tblData[[Day 1]]")),0)),"")</f>
        <v/>
      </c>
      <c r="G95" s="267" t="str">
        <f ca="1">IFERROR(IF(VLOOKUP('Data Entry Form'!$CG102,tblData[],COLUMN(INDIRECT("tblData[[Day 2]]")),0)=0,"",VLOOKUP('Data Entry Form'!$CG102,tblData[],COLUMN(INDIRECT("tblData[[Day 2]]")),0)),"")</f>
        <v/>
      </c>
      <c r="H95" s="267" t="str">
        <f ca="1">IFERROR(IF(VLOOKUP('Data Entry Form'!$CG102,tblData[],COLUMN(INDIRECT("tblData[[Day 3]]")),0)=0,"",VLOOKUP('Data Entry Form'!$CG102,tblData[],COLUMN(INDIRECT("tblData[[Day 3]]")),0)),"")</f>
        <v/>
      </c>
      <c r="I95" s="267" t="str">
        <f ca="1">IFERROR(IF(VLOOKUP('Data Entry Form'!$CG102,tblData[],COLUMN(INDIRECT("tblData[[Day 4]]")),0)=0,"",VLOOKUP('Data Entry Form'!$CG102,tblData[],COLUMN(INDIRECT("tblData[[Day 4]]")),0)),"")</f>
        <v/>
      </c>
      <c r="J95" s="267" t="str">
        <f ca="1">IFERROR(IF(VLOOKUP('Data Entry Form'!$CG102,tblData[],COLUMN(INDIRECT("tblData[[Day 5]]")),0)=0,"",VLOOKUP('Data Entry Form'!$CG102,tblData[],COLUMN(INDIRECT("tblData[[Day 5]]")),0)),"")</f>
        <v/>
      </c>
      <c r="K95" s="267" t="str">
        <f ca="1">IFERROR(IF(VLOOKUP('Data Entry Form'!$CG102,tblData[],COLUMN(INDIRECT("tblData[[Day 6]]")),0)=0,"",VLOOKUP('Data Entry Form'!$CG102,tblData[],COLUMN(INDIRECT("tblData[[Day 6]]")),0)),"")</f>
        <v/>
      </c>
      <c r="L95" s="267" t="str">
        <f ca="1">IFERROR(IF(VLOOKUP('Data Entry Form'!$CG102,tblData[],COLUMN(INDIRECT("tblData[[Day 7]]")),0)=0,"",VLOOKUP('Data Entry Form'!$CG102,tblData[],COLUMN(INDIRECT("tblData[[Day 7]]")),0)),"")</f>
        <v/>
      </c>
      <c r="M95" s="267" t="str">
        <f ca="1">IFERROR(IF(VLOOKUP('Data Entry Form'!$CG102,tblData[],COLUMN(INDIRECT("tblData[[Day 8]]")),0)=0,"",VLOOKUP('Data Entry Form'!$CG102,tblData[],COLUMN(INDIRECT("tblData[[Day 8]]")),0)),"")</f>
        <v/>
      </c>
      <c r="N95" s="267" t="str">
        <f ca="1">IFERROR(IF(VLOOKUP('Data Entry Form'!$CG102,tblData[],COLUMN(INDIRECT("tblData[[Day 9]]")),0)=0,"",VLOOKUP('Data Entry Form'!$CG102,tblData[],COLUMN(INDIRECT("tblData[[Day 9]]")),0)),"")</f>
        <v/>
      </c>
    </row>
    <row r="96" spans="1:14" s="125" customFormat="1" ht="32.1" customHeight="1">
      <c r="A96" s="261" t="str">
        <f ca="1">IFERROR(VLOOKUP('Data Entry Form'!$CG103,tblData[],COLUMN(INDIRECT("tblData[[No]]")),0),"")</f>
        <v/>
      </c>
      <c r="B96" s="262" t="str">
        <f ca="1">IFERROR(VLOOKUP('Data Entry Form'!$CG103,tblData[],COLUMN(INDIRECT("tblData[[Surname]]")),0),"")</f>
        <v/>
      </c>
      <c r="C96" s="262" t="str">
        <f ca="1">IFERROR(VLOOKUP('Data Entry Form'!$CG103,tblData[],COLUMN(INDIRECT("tblData[[Given Name]]")),0),"")</f>
        <v/>
      </c>
      <c r="D96" s="262" t="str">
        <f ca="1">IFERROR(VLOOKUP('Data Entry Form'!$CG103,tblData[],COLUMN(INDIRECT("tblData[[Position]]")),0),"")</f>
        <v/>
      </c>
      <c r="E96" s="262" t="str">
        <f ca="1">IFERROR(VLOOKUP('Data Entry Form'!$CG103,tblData[],COLUMN(INDIRECT("tblData[[Gender]]")),0),"")</f>
        <v/>
      </c>
      <c r="F96" s="267" t="str">
        <f ca="1">IFERROR(IF(VLOOKUP('Data Entry Form'!$CG103,tblData[],COLUMN(INDIRECT("tblData[[Day 1]]")),0)=0,"",VLOOKUP('Data Entry Form'!$CG103,tblData[],COLUMN(INDIRECT("tblData[[Day 1]]")),0)),"")</f>
        <v/>
      </c>
      <c r="G96" s="267" t="str">
        <f ca="1">IFERROR(IF(VLOOKUP('Data Entry Form'!$CG103,tblData[],COLUMN(INDIRECT("tblData[[Day 2]]")),0)=0,"",VLOOKUP('Data Entry Form'!$CG103,tblData[],COLUMN(INDIRECT("tblData[[Day 2]]")),0)),"")</f>
        <v/>
      </c>
      <c r="H96" s="267" t="str">
        <f ca="1">IFERROR(IF(VLOOKUP('Data Entry Form'!$CG103,tblData[],COLUMN(INDIRECT("tblData[[Day 3]]")),0)=0,"",VLOOKUP('Data Entry Form'!$CG103,tblData[],COLUMN(INDIRECT("tblData[[Day 3]]")),0)),"")</f>
        <v/>
      </c>
      <c r="I96" s="267" t="str">
        <f ca="1">IFERROR(IF(VLOOKUP('Data Entry Form'!$CG103,tblData[],COLUMN(INDIRECT("tblData[[Day 4]]")),0)=0,"",VLOOKUP('Data Entry Form'!$CG103,tblData[],COLUMN(INDIRECT("tblData[[Day 4]]")),0)),"")</f>
        <v/>
      </c>
      <c r="J96" s="267" t="str">
        <f ca="1">IFERROR(IF(VLOOKUP('Data Entry Form'!$CG103,tblData[],COLUMN(INDIRECT("tblData[[Day 5]]")),0)=0,"",VLOOKUP('Data Entry Form'!$CG103,tblData[],COLUMN(INDIRECT("tblData[[Day 5]]")),0)),"")</f>
        <v/>
      </c>
      <c r="K96" s="267" t="str">
        <f ca="1">IFERROR(IF(VLOOKUP('Data Entry Form'!$CG103,tblData[],COLUMN(INDIRECT("tblData[[Day 6]]")),0)=0,"",VLOOKUP('Data Entry Form'!$CG103,tblData[],COLUMN(INDIRECT("tblData[[Day 6]]")),0)),"")</f>
        <v/>
      </c>
      <c r="L96" s="267" t="str">
        <f ca="1">IFERROR(IF(VLOOKUP('Data Entry Form'!$CG103,tblData[],COLUMN(INDIRECT("tblData[[Day 7]]")),0)=0,"",VLOOKUP('Data Entry Form'!$CG103,tblData[],COLUMN(INDIRECT("tblData[[Day 7]]")),0)),"")</f>
        <v/>
      </c>
      <c r="M96" s="267" t="str">
        <f ca="1">IFERROR(IF(VLOOKUP('Data Entry Form'!$CG103,tblData[],COLUMN(INDIRECT("tblData[[Day 8]]")),0)=0,"",VLOOKUP('Data Entry Form'!$CG103,tblData[],COLUMN(INDIRECT("tblData[[Day 8]]")),0)),"")</f>
        <v/>
      </c>
      <c r="N96" s="267" t="str">
        <f ca="1">IFERROR(IF(VLOOKUP('Data Entry Form'!$CG103,tblData[],COLUMN(INDIRECT("tblData[[Day 9]]")),0)=0,"",VLOOKUP('Data Entry Form'!$CG103,tblData[],COLUMN(INDIRECT("tblData[[Day 9]]")),0)),"")</f>
        <v/>
      </c>
    </row>
    <row r="97" spans="1:14" s="125" customFormat="1" ht="32.1" customHeight="1">
      <c r="A97" s="261" t="str">
        <f ca="1">IFERROR(VLOOKUP('Data Entry Form'!$CG104,tblData[],COLUMN(INDIRECT("tblData[[No]]")),0),"")</f>
        <v/>
      </c>
      <c r="B97" s="262" t="str">
        <f ca="1">IFERROR(VLOOKUP('Data Entry Form'!$CG104,tblData[],COLUMN(INDIRECT("tblData[[Surname]]")),0),"")</f>
        <v/>
      </c>
      <c r="C97" s="262" t="str">
        <f ca="1">IFERROR(VLOOKUP('Data Entry Form'!$CG104,tblData[],COLUMN(INDIRECT("tblData[[Given Name]]")),0),"")</f>
        <v/>
      </c>
      <c r="D97" s="262" t="str">
        <f ca="1">IFERROR(VLOOKUP('Data Entry Form'!$CG104,tblData[],COLUMN(INDIRECT("tblData[[Position]]")),0),"")</f>
        <v/>
      </c>
      <c r="E97" s="262" t="str">
        <f ca="1">IFERROR(VLOOKUP('Data Entry Form'!$CG104,tblData[],COLUMN(INDIRECT("tblData[[Gender]]")),0),"")</f>
        <v/>
      </c>
      <c r="F97" s="267" t="str">
        <f ca="1">IFERROR(IF(VLOOKUP('Data Entry Form'!$CG104,tblData[],COLUMN(INDIRECT("tblData[[Day 1]]")),0)=0,"",VLOOKUP('Data Entry Form'!$CG104,tblData[],COLUMN(INDIRECT("tblData[[Day 1]]")),0)),"")</f>
        <v/>
      </c>
      <c r="G97" s="267" t="str">
        <f ca="1">IFERROR(IF(VLOOKUP('Data Entry Form'!$CG104,tblData[],COLUMN(INDIRECT("tblData[[Day 2]]")),0)=0,"",VLOOKUP('Data Entry Form'!$CG104,tblData[],COLUMN(INDIRECT("tblData[[Day 2]]")),0)),"")</f>
        <v/>
      </c>
      <c r="H97" s="267" t="str">
        <f ca="1">IFERROR(IF(VLOOKUP('Data Entry Form'!$CG104,tblData[],COLUMN(INDIRECT("tblData[[Day 3]]")),0)=0,"",VLOOKUP('Data Entry Form'!$CG104,tblData[],COLUMN(INDIRECT("tblData[[Day 3]]")),0)),"")</f>
        <v/>
      </c>
      <c r="I97" s="267" t="str">
        <f ca="1">IFERROR(IF(VLOOKUP('Data Entry Form'!$CG104,tblData[],COLUMN(INDIRECT("tblData[[Day 4]]")),0)=0,"",VLOOKUP('Data Entry Form'!$CG104,tblData[],COLUMN(INDIRECT("tblData[[Day 4]]")),0)),"")</f>
        <v/>
      </c>
      <c r="J97" s="267" t="str">
        <f ca="1">IFERROR(IF(VLOOKUP('Data Entry Form'!$CG104,tblData[],COLUMN(INDIRECT("tblData[[Day 5]]")),0)=0,"",VLOOKUP('Data Entry Form'!$CG104,tblData[],COLUMN(INDIRECT("tblData[[Day 5]]")),0)),"")</f>
        <v/>
      </c>
      <c r="K97" s="267" t="str">
        <f ca="1">IFERROR(IF(VLOOKUP('Data Entry Form'!$CG104,tblData[],COLUMN(INDIRECT("tblData[[Day 6]]")),0)=0,"",VLOOKUP('Data Entry Form'!$CG104,tblData[],COLUMN(INDIRECT("tblData[[Day 6]]")),0)),"")</f>
        <v/>
      </c>
      <c r="L97" s="267" t="str">
        <f ca="1">IFERROR(IF(VLOOKUP('Data Entry Form'!$CG104,tblData[],COLUMN(INDIRECT("tblData[[Day 7]]")),0)=0,"",VLOOKUP('Data Entry Form'!$CG104,tblData[],COLUMN(INDIRECT("tblData[[Day 7]]")),0)),"")</f>
        <v/>
      </c>
      <c r="M97" s="267" t="str">
        <f ca="1">IFERROR(IF(VLOOKUP('Data Entry Form'!$CG104,tblData[],COLUMN(INDIRECT("tblData[[Day 8]]")),0)=0,"",VLOOKUP('Data Entry Form'!$CG104,tblData[],COLUMN(INDIRECT("tblData[[Day 8]]")),0)),"")</f>
        <v/>
      </c>
      <c r="N97" s="267" t="str">
        <f ca="1">IFERROR(IF(VLOOKUP('Data Entry Form'!$CG104,tblData[],COLUMN(INDIRECT("tblData[[Day 9]]")),0)=0,"",VLOOKUP('Data Entry Form'!$CG104,tblData[],COLUMN(INDIRECT("tblData[[Day 9]]")),0)),"")</f>
        <v/>
      </c>
    </row>
    <row r="98" spans="1:14" s="125" customFormat="1" ht="32.1" customHeight="1">
      <c r="A98" s="261" t="str">
        <f ca="1">IFERROR(VLOOKUP('Data Entry Form'!$CG105,tblData[],COLUMN(INDIRECT("tblData[[No]]")),0),"")</f>
        <v/>
      </c>
      <c r="B98" s="262" t="str">
        <f ca="1">IFERROR(VLOOKUP('Data Entry Form'!$CG105,tblData[],COLUMN(INDIRECT("tblData[[Surname]]")),0),"")</f>
        <v/>
      </c>
      <c r="C98" s="262" t="str">
        <f ca="1">IFERROR(VLOOKUP('Data Entry Form'!$CG105,tblData[],COLUMN(INDIRECT("tblData[[Given Name]]")),0),"")</f>
        <v/>
      </c>
      <c r="D98" s="262" t="str">
        <f ca="1">IFERROR(VLOOKUP('Data Entry Form'!$CG105,tblData[],COLUMN(INDIRECT("tblData[[Position]]")),0),"")</f>
        <v/>
      </c>
      <c r="E98" s="262" t="str">
        <f ca="1">IFERROR(VLOOKUP('Data Entry Form'!$CG105,tblData[],COLUMN(INDIRECT("tblData[[Gender]]")),0),"")</f>
        <v/>
      </c>
      <c r="F98" s="267" t="str">
        <f ca="1">IFERROR(IF(VLOOKUP('Data Entry Form'!$CG105,tblData[],COLUMN(INDIRECT("tblData[[Day 1]]")),0)=0,"",VLOOKUP('Data Entry Form'!$CG105,tblData[],COLUMN(INDIRECT("tblData[[Day 1]]")),0)),"")</f>
        <v/>
      </c>
      <c r="G98" s="267" t="str">
        <f ca="1">IFERROR(IF(VLOOKUP('Data Entry Form'!$CG105,tblData[],COLUMN(INDIRECT("tblData[[Day 2]]")),0)=0,"",VLOOKUP('Data Entry Form'!$CG105,tblData[],COLUMN(INDIRECT("tblData[[Day 2]]")),0)),"")</f>
        <v/>
      </c>
      <c r="H98" s="267" t="str">
        <f ca="1">IFERROR(IF(VLOOKUP('Data Entry Form'!$CG105,tblData[],COLUMN(INDIRECT("tblData[[Day 3]]")),0)=0,"",VLOOKUP('Data Entry Form'!$CG105,tblData[],COLUMN(INDIRECT("tblData[[Day 3]]")),0)),"")</f>
        <v/>
      </c>
      <c r="I98" s="267" t="str">
        <f ca="1">IFERROR(IF(VLOOKUP('Data Entry Form'!$CG105,tblData[],COLUMN(INDIRECT("tblData[[Day 4]]")),0)=0,"",VLOOKUP('Data Entry Form'!$CG105,tblData[],COLUMN(INDIRECT("tblData[[Day 4]]")),0)),"")</f>
        <v/>
      </c>
      <c r="J98" s="267" t="str">
        <f ca="1">IFERROR(IF(VLOOKUP('Data Entry Form'!$CG105,tblData[],COLUMN(INDIRECT("tblData[[Day 5]]")),0)=0,"",VLOOKUP('Data Entry Form'!$CG105,tblData[],COLUMN(INDIRECT("tblData[[Day 5]]")),0)),"")</f>
        <v/>
      </c>
      <c r="K98" s="267" t="str">
        <f ca="1">IFERROR(IF(VLOOKUP('Data Entry Form'!$CG105,tblData[],COLUMN(INDIRECT("tblData[[Day 6]]")),0)=0,"",VLOOKUP('Data Entry Form'!$CG105,tblData[],COLUMN(INDIRECT("tblData[[Day 6]]")),0)),"")</f>
        <v/>
      </c>
      <c r="L98" s="267" t="str">
        <f ca="1">IFERROR(IF(VLOOKUP('Data Entry Form'!$CG105,tblData[],COLUMN(INDIRECT("tblData[[Day 7]]")),0)=0,"",VLOOKUP('Data Entry Form'!$CG105,tblData[],COLUMN(INDIRECT("tblData[[Day 7]]")),0)),"")</f>
        <v/>
      </c>
      <c r="M98" s="267" t="str">
        <f ca="1">IFERROR(IF(VLOOKUP('Data Entry Form'!$CG105,tblData[],COLUMN(INDIRECT("tblData[[Day 8]]")),0)=0,"",VLOOKUP('Data Entry Form'!$CG105,tblData[],COLUMN(INDIRECT("tblData[[Day 8]]")),0)),"")</f>
        <v/>
      </c>
      <c r="N98" s="267" t="str">
        <f ca="1">IFERROR(IF(VLOOKUP('Data Entry Form'!$CG105,tblData[],COLUMN(INDIRECT("tblData[[Day 9]]")),0)=0,"",VLOOKUP('Data Entry Form'!$CG105,tblData[],COLUMN(INDIRECT("tblData[[Day 9]]")),0)),"")</f>
        <v/>
      </c>
    </row>
    <row r="99" spans="1:14" s="125" customFormat="1" ht="32.1" customHeight="1">
      <c r="A99" s="261" t="str">
        <f ca="1">IFERROR(VLOOKUP('Data Entry Form'!$CG106,tblData[],COLUMN(INDIRECT("tblData[[No]]")),0),"")</f>
        <v/>
      </c>
      <c r="B99" s="262" t="str">
        <f ca="1">IFERROR(VLOOKUP('Data Entry Form'!$CG106,tblData[],COLUMN(INDIRECT("tblData[[Surname]]")),0),"")</f>
        <v/>
      </c>
      <c r="C99" s="262" t="str">
        <f ca="1">IFERROR(VLOOKUP('Data Entry Form'!$CG106,tblData[],COLUMN(INDIRECT("tblData[[Given Name]]")),0),"")</f>
        <v/>
      </c>
      <c r="D99" s="262" t="str">
        <f ca="1">IFERROR(VLOOKUP('Data Entry Form'!$CG106,tblData[],COLUMN(INDIRECT("tblData[[Position]]")),0),"")</f>
        <v/>
      </c>
      <c r="E99" s="262" t="str">
        <f ca="1">IFERROR(VLOOKUP('Data Entry Form'!$CG106,tblData[],COLUMN(INDIRECT("tblData[[Gender]]")),0),"")</f>
        <v/>
      </c>
      <c r="F99" s="267" t="str">
        <f ca="1">IFERROR(IF(VLOOKUP('Data Entry Form'!$CG106,tblData[],COLUMN(INDIRECT("tblData[[Day 1]]")),0)=0,"",VLOOKUP('Data Entry Form'!$CG106,tblData[],COLUMN(INDIRECT("tblData[[Day 1]]")),0)),"")</f>
        <v/>
      </c>
      <c r="G99" s="267" t="str">
        <f ca="1">IFERROR(IF(VLOOKUP('Data Entry Form'!$CG106,tblData[],COLUMN(INDIRECT("tblData[[Day 2]]")),0)=0,"",VLOOKUP('Data Entry Form'!$CG106,tblData[],COLUMN(INDIRECT("tblData[[Day 2]]")),0)),"")</f>
        <v/>
      </c>
      <c r="H99" s="267" t="str">
        <f ca="1">IFERROR(IF(VLOOKUP('Data Entry Form'!$CG106,tblData[],COLUMN(INDIRECT("tblData[[Day 3]]")),0)=0,"",VLOOKUP('Data Entry Form'!$CG106,tblData[],COLUMN(INDIRECT("tblData[[Day 3]]")),0)),"")</f>
        <v/>
      </c>
      <c r="I99" s="267" t="str">
        <f ca="1">IFERROR(IF(VLOOKUP('Data Entry Form'!$CG106,tblData[],COLUMN(INDIRECT("tblData[[Day 4]]")),0)=0,"",VLOOKUP('Data Entry Form'!$CG106,tblData[],COLUMN(INDIRECT("tblData[[Day 4]]")),0)),"")</f>
        <v/>
      </c>
      <c r="J99" s="267" t="str">
        <f ca="1">IFERROR(IF(VLOOKUP('Data Entry Form'!$CG106,tblData[],COLUMN(INDIRECT("tblData[[Day 5]]")),0)=0,"",VLOOKUP('Data Entry Form'!$CG106,tblData[],COLUMN(INDIRECT("tblData[[Day 5]]")),0)),"")</f>
        <v/>
      </c>
      <c r="K99" s="267" t="str">
        <f ca="1">IFERROR(IF(VLOOKUP('Data Entry Form'!$CG106,tblData[],COLUMN(INDIRECT("tblData[[Day 6]]")),0)=0,"",VLOOKUP('Data Entry Form'!$CG106,tblData[],COLUMN(INDIRECT("tblData[[Day 6]]")),0)),"")</f>
        <v/>
      </c>
      <c r="L99" s="267" t="str">
        <f ca="1">IFERROR(IF(VLOOKUP('Data Entry Form'!$CG106,tblData[],COLUMN(INDIRECT("tblData[[Day 7]]")),0)=0,"",VLOOKUP('Data Entry Form'!$CG106,tblData[],COLUMN(INDIRECT("tblData[[Day 7]]")),0)),"")</f>
        <v/>
      </c>
      <c r="M99" s="267" t="str">
        <f ca="1">IFERROR(IF(VLOOKUP('Data Entry Form'!$CG106,tblData[],COLUMN(INDIRECT("tblData[[Day 8]]")),0)=0,"",VLOOKUP('Data Entry Form'!$CG106,tblData[],COLUMN(INDIRECT("tblData[[Day 8]]")),0)),"")</f>
        <v/>
      </c>
      <c r="N99" s="267" t="str">
        <f ca="1">IFERROR(IF(VLOOKUP('Data Entry Form'!$CG106,tblData[],COLUMN(INDIRECT("tblData[[Day 9]]")),0)=0,"",VLOOKUP('Data Entry Form'!$CG106,tblData[],COLUMN(INDIRECT("tblData[[Day 9]]")),0)),"")</f>
        <v/>
      </c>
    </row>
    <row r="100" spans="1:14" s="125" customFormat="1" ht="32.1" customHeight="1">
      <c r="A100" s="261" t="str">
        <f ca="1">IFERROR(VLOOKUP('Data Entry Form'!$CG107,tblData[],COLUMN(INDIRECT("tblData[[No]]")),0),"")</f>
        <v/>
      </c>
      <c r="B100" s="262" t="str">
        <f ca="1">IFERROR(VLOOKUP('Data Entry Form'!$CG107,tblData[],COLUMN(INDIRECT("tblData[[Surname]]")),0),"")</f>
        <v/>
      </c>
      <c r="C100" s="262" t="str">
        <f ca="1">IFERROR(VLOOKUP('Data Entry Form'!$CG107,tblData[],COLUMN(INDIRECT("tblData[[Given Name]]")),0),"")</f>
        <v/>
      </c>
      <c r="D100" s="262" t="str">
        <f ca="1">IFERROR(VLOOKUP('Data Entry Form'!$CG107,tblData[],COLUMN(INDIRECT("tblData[[Position]]")),0),"")</f>
        <v/>
      </c>
      <c r="E100" s="262" t="str">
        <f ca="1">IFERROR(VLOOKUP('Data Entry Form'!$CG107,tblData[],COLUMN(INDIRECT("tblData[[Gender]]")),0),"")</f>
        <v/>
      </c>
      <c r="F100" s="267" t="str">
        <f ca="1">IFERROR(IF(VLOOKUP('Data Entry Form'!$CG107,tblData[],COLUMN(INDIRECT("tblData[[Day 1]]")),0)=0,"",VLOOKUP('Data Entry Form'!$CG107,tblData[],COLUMN(INDIRECT("tblData[[Day 1]]")),0)),"")</f>
        <v/>
      </c>
      <c r="G100" s="267" t="str">
        <f ca="1">IFERROR(IF(VLOOKUP('Data Entry Form'!$CG107,tblData[],COLUMN(INDIRECT("tblData[[Day 2]]")),0)=0,"",VLOOKUP('Data Entry Form'!$CG107,tblData[],COLUMN(INDIRECT("tblData[[Day 2]]")),0)),"")</f>
        <v/>
      </c>
      <c r="H100" s="267" t="str">
        <f ca="1">IFERROR(IF(VLOOKUP('Data Entry Form'!$CG107,tblData[],COLUMN(INDIRECT("tblData[[Day 3]]")),0)=0,"",VLOOKUP('Data Entry Form'!$CG107,tblData[],COLUMN(INDIRECT("tblData[[Day 3]]")),0)),"")</f>
        <v/>
      </c>
      <c r="I100" s="267" t="str">
        <f ca="1">IFERROR(IF(VLOOKUP('Data Entry Form'!$CG107,tblData[],COLUMN(INDIRECT("tblData[[Day 4]]")),0)=0,"",VLOOKUP('Data Entry Form'!$CG107,tblData[],COLUMN(INDIRECT("tblData[[Day 4]]")),0)),"")</f>
        <v/>
      </c>
      <c r="J100" s="267" t="str">
        <f ca="1">IFERROR(IF(VLOOKUP('Data Entry Form'!$CG107,tblData[],COLUMN(INDIRECT("tblData[[Day 5]]")),0)=0,"",VLOOKUP('Data Entry Form'!$CG107,tblData[],COLUMN(INDIRECT("tblData[[Day 5]]")),0)),"")</f>
        <v/>
      </c>
      <c r="K100" s="267" t="str">
        <f ca="1">IFERROR(IF(VLOOKUP('Data Entry Form'!$CG107,tblData[],COLUMN(INDIRECT("tblData[[Day 6]]")),0)=0,"",VLOOKUP('Data Entry Form'!$CG107,tblData[],COLUMN(INDIRECT("tblData[[Day 6]]")),0)),"")</f>
        <v/>
      </c>
      <c r="L100" s="267" t="str">
        <f ca="1">IFERROR(IF(VLOOKUP('Data Entry Form'!$CG107,tblData[],COLUMN(INDIRECT("tblData[[Day 7]]")),0)=0,"",VLOOKUP('Data Entry Form'!$CG107,tblData[],COLUMN(INDIRECT("tblData[[Day 7]]")),0)),"")</f>
        <v/>
      </c>
      <c r="M100" s="267" t="str">
        <f ca="1">IFERROR(IF(VLOOKUP('Data Entry Form'!$CG107,tblData[],COLUMN(INDIRECT("tblData[[Day 8]]")),0)=0,"",VLOOKUP('Data Entry Form'!$CG107,tblData[],COLUMN(INDIRECT("tblData[[Day 8]]")),0)),"")</f>
        <v/>
      </c>
      <c r="N100" s="267" t="str">
        <f ca="1">IFERROR(IF(VLOOKUP('Data Entry Form'!$CG107,tblData[],COLUMN(INDIRECT("tblData[[Day 9]]")),0)=0,"",VLOOKUP('Data Entry Form'!$CG107,tblData[],COLUMN(INDIRECT("tblData[[Day 9]]")),0)),"")</f>
        <v/>
      </c>
    </row>
    <row r="101" spans="1:14" s="125" customFormat="1" ht="32.1" customHeight="1">
      <c r="A101" s="261" t="str">
        <f ca="1">IFERROR(VLOOKUP('Data Entry Form'!$CG108,tblData[],COLUMN(INDIRECT("tblData[[No]]")),0),"")</f>
        <v/>
      </c>
      <c r="B101" s="262" t="str">
        <f ca="1">IFERROR(VLOOKUP('Data Entry Form'!$CG108,tblData[],COLUMN(INDIRECT("tblData[[Surname]]")),0),"")</f>
        <v/>
      </c>
      <c r="C101" s="262" t="str">
        <f ca="1">IFERROR(VLOOKUP('Data Entry Form'!$CG108,tblData[],COLUMN(INDIRECT("tblData[[Given Name]]")),0),"")</f>
        <v/>
      </c>
      <c r="D101" s="262" t="str">
        <f ca="1">IFERROR(VLOOKUP('Data Entry Form'!$CG108,tblData[],COLUMN(INDIRECT("tblData[[Position]]")),0),"")</f>
        <v/>
      </c>
      <c r="E101" s="262" t="str">
        <f ca="1">IFERROR(VLOOKUP('Data Entry Form'!$CG108,tblData[],COLUMN(INDIRECT("tblData[[Gender]]")),0),"")</f>
        <v/>
      </c>
      <c r="F101" s="267" t="str">
        <f ca="1">IFERROR(IF(VLOOKUP('Data Entry Form'!$CG108,tblData[],COLUMN(INDIRECT("tblData[[Day 1]]")),0)=0,"",VLOOKUP('Data Entry Form'!$CG108,tblData[],COLUMN(INDIRECT("tblData[[Day 1]]")),0)),"")</f>
        <v/>
      </c>
      <c r="G101" s="267" t="str">
        <f ca="1">IFERROR(IF(VLOOKUP('Data Entry Form'!$CG108,tblData[],COLUMN(INDIRECT("tblData[[Day 2]]")),0)=0,"",VLOOKUP('Data Entry Form'!$CG108,tblData[],COLUMN(INDIRECT("tblData[[Day 2]]")),0)),"")</f>
        <v/>
      </c>
      <c r="H101" s="267" t="str">
        <f ca="1">IFERROR(IF(VLOOKUP('Data Entry Form'!$CG108,tblData[],COLUMN(INDIRECT("tblData[[Day 3]]")),0)=0,"",VLOOKUP('Data Entry Form'!$CG108,tblData[],COLUMN(INDIRECT("tblData[[Day 3]]")),0)),"")</f>
        <v/>
      </c>
      <c r="I101" s="267" t="str">
        <f ca="1">IFERROR(IF(VLOOKUP('Data Entry Form'!$CG108,tblData[],COLUMN(INDIRECT("tblData[[Day 4]]")),0)=0,"",VLOOKUP('Data Entry Form'!$CG108,tblData[],COLUMN(INDIRECT("tblData[[Day 4]]")),0)),"")</f>
        <v/>
      </c>
      <c r="J101" s="267" t="str">
        <f ca="1">IFERROR(IF(VLOOKUP('Data Entry Form'!$CG108,tblData[],COLUMN(INDIRECT("tblData[[Day 5]]")),0)=0,"",VLOOKUP('Data Entry Form'!$CG108,tblData[],COLUMN(INDIRECT("tblData[[Day 5]]")),0)),"")</f>
        <v/>
      </c>
      <c r="K101" s="267" t="str">
        <f ca="1">IFERROR(IF(VLOOKUP('Data Entry Form'!$CG108,tblData[],COLUMN(INDIRECT("tblData[[Day 6]]")),0)=0,"",VLOOKUP('Data Entry Form'!$CG108,tblData[],COLUMN(INDIRECT("tblData[[Day 6]]")),0)),"")</f>
        <v/>
      </c>
      <c r="L101" s="267" t="str">
        <f ca="1">IFERROR(IF(VLOOKUP('Data Entry Form'!$CG108,tblData[],COLUMN(INDIRECT("tblData[[Day 7]]")),0)=0,"",VLOOKUP('Data Entry Form'!$CG108,tblData[],COLUMN(INDIRECT("tblData[[Day 7]]")),0)),"")</f>
        <v/>
      </c>
      <c r="M101" s="267" t="str">
        <f ca="1">IFERROR(IF(VLOOKUP('Data Entry Form'!$CG108,tblData[],COLUMN(INDIRECT("tblData[[Day 8]]")),0)=0,"",VLOOKUP('Data Entry Form'!$CG108,tblData[],COLUMN(INDIRECT("tblData[[Day 8]]")),0)),"")</f>
        <v/>
      </c>
      <c r="N101" s="267" t="str">
        <f ca="1">IFERROR(IF(VLOOKUP('Data Entry Form'!$CG108,tblData[],COLUMN(INDIRECT("tblData[[Day 9]]")),0)=0,"",VLOOKUP('Data Entry Form'!$CG108,tblData[],COLUMN(INDIRECT("tblData[[Day 9]]")),0)),"")</f>
        <v/>
      </c>
    </row>
    <row r="102" spans="1:14" s="125" customFormat="1" ht="32.1" customHeight="1">
      <c r="A102" s="261" t="str">
        <f ca="1">IFERROR(VLOOKUP('Data Entry Form'!$CG109,tblData[],COLUMN(INDIRECT("tblData[[No]]")),0),"")</f>
        <v/>
      </c>
      <c r="B102" s="262" t="str">
        <f ca="1">IFERROR(VLOOKUP('Data Entry Form'!$CG109,tblData[],COLUMN(INDIRECT("tblData[[Surname]]")),0),"")</f>
        <v/>
      </c>
      <c r="C102" s="262" t="str">
        <f ca="1">IFERROR(VLOOKUP('Data Entry Form'!$CG109,tblData[],COLUMN(INDIRECT("tblData[[Given Name]]")),0),"")</f>
        <v/>
      </c>
      <c r="D102" s="262" t="str">
        <f ca="1">IFERROR(VLOOKUP('Data Entry Form'!$CG109,tblData[],COLUMN(INDIRECT("tblData[[Position]]")),0),"")</f>
        <v/>
      </c>
      <c r="E102" s="262" t="str">
        <f ca="1">IFERROR(VLOOKUP('Data Entry Form'!$CG109,tblData[],COLUMN(INDIRECT("tblData[[Gender]]")),0),"")</f>
        <v/>
      </c>
      <c r="F102" s="267" t="str">
        <f ca="1">IFERROR(IF(VLOOKUP('Data Entry Form'!$CG109,tblData[],COLUMN(INDIRECT("tblData[[Day 1]]")),0)=0,"",VLOOKUP('Data Entry Form'!$CG109,tblData[],COLUMN(INDIRECT("tblData[[Day 1]]")),0)),"")</f>
        <v/>
      </c>
      <c r="G102" s="267" t="str">
        <f ca="1">IFERROR(IF(VLOOKUP('Data Entry Form'!$CG109,tblData[],COLUMN(INDIRECT("tblData[[Day 2]]")),0)=0,"",VLOOKUP('Data Entry Form'!$CG109,tblData[],COLUMN(INDIRECT("tblData[[Day 2]]")),0)),"")</f>
        <v/>
      </c>
      <c r="H102" s="267" t="str">
        <f ca="1">IFERROR(IF(VLOOKUP('Data Entry Form'!$CG109,tblData[],COLUMN(INDIRECT("tblData[[Day 3]]")),0)=0,"",VLOOKUP('Data Entry Form'!$CG109,tblData[],COLUMN(INDIRECT("tblData[[Day 3]]")),0)),"")</f>
        <v/>
      </c>
      <c r="I102" s="267" t="str">
        <f ca="1">IFERROR(IF(VLOOKUP('Data Entry Form'!$CG109,tblData[],COLUMN(INDIRECT("tblData[[Day 4]]")),0)=0,"",VLOOKUP('Data Entry Form'!$CG109,tblData[],COLUMN(INDIRECT("tblData[[Day 4]]")),0)),"")</f>
        <v/>
      </c>
      <c r="J102" s="267" t="str">
        <f ca="1">IFERROR(IF(VLOOKUP('Data Entry Form'!$CG109,tblData[],COLUMN(INDIRECT("tblData[[Day 5]]")),0)=0,"",VLOOKUP('Data Entry Form'!$CG109,tblData[],COLUMN(INDIRECT("tblData[[Day 5]]")),0)),"")</f>
        <v/>
      </c>
      <c r="K102" s="267" t="str">
        <f ca="1">IFERROR(IF(VLOOKUP('Data Entry Form'!$CG109,tblData[],COLUMN(INDIRECT("tblData[[Day 6]]")),0)=0,"",VLOOKUP('Data Entry Form'!$CG109,tblData[],COLUMN(INDIRECT("tblData[[Day 6]]")),0)),"")</f>
        <v/>
      </c>
      <c r="L102" s="267" t="str">
        <f ca="1">IFERROR(IF(VLOOKUP('Data Entry Form'!$CG109,tblData[],COLUMN(INDIRECT("tblData[[Day 7]]")),0)=0,"",VLOOKUP('Data Entry Form'!$CG109,tblData[],COLUMN(INDIRECT("tblData[[Day 7]]")),0)),"")</f>
        <v/>
      </c>
      <c r="M102" s="267" t="str">
        <f ca="1">IFERROR(IF(VLOOKUP('Data Entry Form'!$CG109,tblData[],COLUMN(INDIRECT("tblData[[Day 8]]")),0)=0,"",VLOOKUP('Data Entry Form'!$CG109,tblData[],COLUMN(INDIRECT("tblData[[Day 8]]")),0)),"")</f>
        <v/>
      </c>
      <c r="N102" s="267" t="str">
        <f ca="1">IFERROR(IF(VLOOKUP('Data Entry Form'!$CG109,tblData[],COLUMN(INDIRECT("tblData[[Day 9]]")),0)=0,"",VLOOKUP('Data Entry Form'!$CG109,tblData[],COLUMN(INDIRECT("tblData[[Day 9]]")),0)),"")</f>
        <v/>
      </c>
    </row>
    <row r="103" spans="1:14" s="125" customFormat="1" ht="32.1" customHeight="1">
      <c r="A103" s="261" t="str">
        <f ca="1">IFERROR(VLOOKUP('Data Entry Form'!$CG110,tblData[],COLUMN(INDIRECT("tblData[[No]]")),0),"")</f>
        <v/>
      </c>
      <c r="B103" s="262" t="str">
        <f ca="1">IFERROR(VLOOKUP('Data Entry Form'!$CG110,tblData[],COLUMN(INDIRECT("tblData[[Surname]]")),0),"")</f>
        <v/>
      </c>
      <c r="C103" s="262" t="str">
        <f ca="1">IFERROR(VLOOKUP('Data Entry Form'!$CG110,tblData[],COLUMN(INDIRECT("tblData[[Given Name]]")),0),"")</f>
        <v/>
      </c>
      <c r="D103" s="262" t="str">
        <f ca="1">IFERROR(VLOOKUP('Data Entry Form'!$CG110,tblData[],COLUMN(INDIRECT("tblData[[Position]]")),0),"")</f>
        <v/>
      </c>
      <c r="E103" s="262" t="str">
        <f ca="1">IFERROR(VLOOKUP('Data Entry Form'!$CG110,tblData[],COLUMN(INDIRECT("tblData[[Gender]]")),0),"")</f>
        <v/>
      </c>
      <c r="F103" s="267" t="str">
        <f ca="1">IFERROR(IF(VLOOKUP('Data Entry Form'!$CG110,tblData[],COLUMN(INDIRECT("tblData[[Day 1]]")),0)=0,"",VLOOKUP('Data Entry Form'!$CG110,tblData[],COLUMN(INDIRECT("tblData[[Day 1]]")),0)),"")</f>
        <v/>
      </c>
      <c r="G103" s="267" t="str">
        <f ca="1">IFERROR(IF(VLOOKUP('Data Entry Form'!$CG110,tblData[],COLUMN(INDIRECT("tblData[[Day 2]]")),0)=0,"",VLOOKUP('Data Entry Form'!$CG110,tblData[],COLUMN(INDIRECT("tblData[[Day 2]]")),0)),"")</f>
        <v/>
      </c>
      <c r="H103" s="267" t="str">
        <f ca="1">IFERROR(IF(VLOOKUP('Data Entry Form'!$CG110,tblData[],COLUMN(INDIRECT("tblData[[Day 3]]")),0)=0,"",VLOOKUP('Data Entry Form'!$CG110,tblData[],COLUMN(INDIRECT("tblData[[Day 3]]")),0)),"")</f>
        <v/>
      </c>
      <c r="I103" s="267" t="str">
        <f ca="1">IFERROR(IF(VLOOKUP('Data Entry Form'!$CG110,tblData[],COLUMN(INDIRECT("tblData[[Day 4]]")),0)=0,"",VLOOKUP('Data Entry Form'!$CG110,tblData[],COLUMN(INDIRECT("tblData[[Day 4]]")),0)),"")</f>
        <v/>
      </c>
      <c r="J103" s="267" t="str">
        <f ca="1">IFERROR(IF(VLOOKUP('Data Entry Form'!$CG110,tblData[],COLUMN(INDIRECT("tblData[[Day 5]]")),0)=0,"",VLOOKUP('Data Entry Form'!$CG110,tblData[],COLUMN(INDIRECT("tblData[[Day 5]]")),0)),"")</f>
        <v/>
      </c>
      <c r="K103" s="267" t="str">
        <f ca="1">IFERROR(IF(VLOOKUP('Data Entry Form'!$CG110,tblData[],COLUMN(INDIRECT("tblData[[Day 6]]")),0)=0,"",VLOOKUP('Data Entry Form'!$CG110,tblData[],COLUMN(INDIRECT("tblData[[Day 6]]")),0)),"")</f>
        <v/>
      </c>
      <c r="L103" s="267" t="str">
        <f ca="1">IFERROR(IF(VLOOKUP('Data Entry Form'!$CG110,tblData[],COLUMN(INDIRECT("tblData[[Day 7]]")),0)=0,"",VLOOKUP('Data Entry Form'!$CG110,tblData[],COLUMN(INDIRECT("tblData[[Day 7]]")),0)),"")</f>
        <v/>
      </c>
      <c r="M103" s="267" t="str">
        <f ca="1">IFERROR(IF(VLOOKUP('Data Entry Form'!$CG110,tblData[],COLUMN(INDIRECT("tblData[[Day 8]]")),0)=0,"",VLOOKUP('Data Entry Form'!$CG110,tblData[],COLUMN(INDIRECT("tblData[[Day 8]]")),0)),"")</f>
        <v/>
      </c>
      <c r="N103" s="267" t="str">
        <f ca="1">IFERROR(IF(VLOOKUP('Data Entry Form'!$CG110,tblData[],COLUMN(INDIRECT("tblData[[Day 9]]")),0)=0,"",VLOOKUP('Data Entry Form'!$CG110,tblData[],COLUMN(INDIRECT("tblData[[Day 9]]")),0)),"")</f>
        <v/>
      </c>
    </row>
    <row r="104" spans="1:14" s="125" customFormat="1" ht="32.1" customHeight="1">
      <c r="A104" s="261" t="str">
        <f ca="1">IFERROR(VLOOKUP('Data Entry Form'!$CG111,tblData[],COLUMN(INDIRECT("tblData[[No]]")),0),"")</f>
        <v/>
      </c>
      <c r="B104" s="262" t="str">
        <f ca="1">IFERROR(VLOOKUP('Data Entry Form'!$CG111,tblData[],COLUMN(INDIRECT("tblData[[Surname]]")),0),"")</f>
        <v/>
      </c>
      <c r="C104" s="262" t="str">
        <f ca="1">IFERROR(VLOOKUP('Data Entry Form'!$CG111,tblData[],COLUMN(INDIRECT("tblData[[Given Name]]")),0),"")</f>
        <v/>
      </c>
      <c r="D104" s="262" t="str">
        <f ca="1">IFERROR(VLOOKUP('Data Entry Form'!$CG111,tblData[],COLUMN(INDIRECT("tblData[[Position]]")),0),"")</f>
        <v/>
      </c>
      <c r="E104" s="262" t="str">
        <f ca="1">IFERROR(VLOOKUP('Data Entry Form'!$CG111,tblData[],COLUMN(INDIRECT("tblData[[Gender]]")),0),"")</f>
        <v/>
      </c>
      <c r="F104" s="267" t="str">
        <f ca="1">IFERROR(IF(VLOOKUP('Data Entry Form'!$CG111,tblData[],COLUMN(INDIRECT("tblData[[Day 1]]")),0)=0,"",VLOOKUP('Data Entry Form'!$CG111,tblData[],COLUMN(INDIRECT("tblData[[Day 1]]")),0)),"")</f>
        <v/>
      </c>
      <c r="G104" s="267" t="str">
        <f ca="1">IFERROR(IF(VLOOKUP('Data Entry Form'!$CG111,tblData[],COLUMN(INDIRECT("tblData[[Day 2]]")),0)=0,"",VLOOKUP('Data Entry Form'!$CG111,tblData[],COLUMN(INDIRECT("tblData[[Day 2]]")),0)),"")</f>
        <v/>
      </c>
      <c r="H104" s="267" t="str">
        <f ca="1">IFERROR(IF(VLOOKUP('Data Entry Form'!$CG111,tblData[],COLUMN(INDIRECT("tblData[[Day 3]]")),0)=0,"",VLOOKUP('Data Entry Form'!$CG111,tblData[],COLUMN(INDIRECT("tblData[[Day 3]]")),0)),"")</f>
        <v/>
      </c>
      <c r="I104" s="267" t="str">
        <f ca="1">IFERROR(IF(VLOOKUP('Data Entry Form'!$CG111,tblData[],COLUMN(INDIRECT("tblData[[Day 4]]")),0)=0,"",VLOOKUP('Data Entry Form'!$CG111,tblData[],COLUMN(INDIRECT("tblData[[Day 4]]")),0)),"")</f>
        <v/>
      </c>
      <c r="J104" s="267" t="str">
        <f ca="1">IFERROR(IF(VLOOKUP('Data Entry Form'!$CG111,tblData[],COLUMN(INDIRECT("tblData[[Day 5]]")),0)=0,"",VLOOKUP('Data Entry Form'!$CG111,tblData[],COLUMN(INDIRECT("tblData[[Day 5]]")),0)),"")</f>
        <v/>
      </c>
      <c r="K104" s="267" t="str">
        <f ca="1">IFERROR(IF(VLOOKUP('Data Entry Form'!$CG111,tblData[],COLUMN(INDIRECT("tblData[[Day 6]]")),0)=0,"",VLOOKUP('Data Entry Form'!$CG111,tblData[],COLUMN(INDIRECT("tblData[[Day 6]]")),0)),"")</f>
        <v/>
      </c>
      <c r="L104" s="267" t="str">
        <f ca="1">IFERROR(IF(VLOOKUP('Data Entry Form'!$CG111,tblData[],COLUMN(INDIRECT("tblData[[Day 7]]")),0)=0,"",VLOOKUP('Data Entry Form'!$CG111,tblData[],COLUMN(INDIRECT("tblData[[Day 7]]")),0)),"")</f>
        <v/>
      </c>
      <c r="M104" s="267" t="str">
        <f ca="1">IFERROR(IF(VLOOKUP('Data Entry Form'!$CG111,tblData[],COLUMN(INDIRECT("tblData[[Day 8]]")),0)=0,"",VLOOKUP('Data Entry Form'!$CG111,tblData[],COLUMN(INDIRECT("tblData[[Day 8]]")),0)),"")</f>
        <v/>
      </c>
      <c r="N104" s="267" t="str">
        <f ca="1">IFERROR(IF(VLOOKUP('Data Entry Form'!$CG111,tblData[],COLUMN(INDIRECT("tblData[[Day 9]]")),0)=0,"",VLOOKUP('Data Entry Form'!$CG111,tblData[],COLUMN(INDIRECT("tblData[[Day 9]]")),0)),"")</f>
        <v/>
      </c>
    </row>
    <row r="105" spans="1:14" s="125" customFormat="1" ht="32.1" customHeight="1">
      <c r="A105" s="261" t="str">
        <f ca="1">IFERROR(VLOOKUP('Data Entry Form'!$CG112,tblData[],COLUMN(INDIRECT("tblData[[No]]")),0),"")</f>
        <v/>
      </c>
      <c r="B105" s="262" t="str">
        <f ca="1">IFERROR(VLOOKUP('Data Entry Form'!$CG112,tblData[],COLUMN(INDIRECT("tblData[[Surname]]")),0),"")</f>
        <v/>
      </c>
      <c r="C105" s="262" t="str">
        <f ca="1">IFERROR(VLOOKUP('Data Entry Form'!$CG112,tblData[],COLUMN(INDIRECT("tblData[[Given Name]]")),0),"")</f>
        <v/>
      </c>
      <c r="D105" s="262" t="str">
        <f ca="1">IFERROR(VLOOKUP('Data Entry Form'!$CG112,tblData[],COLUMN(INDIRECT("tblData[[Position]]")),0),"")</f>
        <v/>
      </c>
      <c r="E105" s="262" t="str">
        <f ca="1">IFERROR(VLOOKUP('Data Entry Form'!$CG112,tblData[],COLUMN(INDIRECT("tblData[[Gender]]")),0),"")</f>
        <v/>
      </c>
      <c r="F105" s="267" t="str">
        <f ca="1">IFERROR(IF(VLOOKUP('Data Entry Form'!$CG112,tblData[],COLUMN(INDIRECT("tblData[[Day 1]]")),0)=0,"",VLOOKUP('Data Entry Form'!$CG112,tblData[],COLUMN(INDIRECT("tblData[[Day 1]]")),0)),"")</f>
        <v/>
      </c>
      <c r="G105" s="267" t="str">
        <f ca="1">IFERROR(IF(VLOOKUP('Data Entry Form'!$CG112,tblData[],COLUMN(INDIRECT("tblData[[Day 2]]")),0)=0,"",VLOOKUP('Data Entry Form'!$CG112,tblData[],COLUMN(INDIRECT("tblData[[Day 2]]")),0)),"")</f>
        <v/>
      </c>
      <c r="H105" s="267" t="str">
        <f ca="1">IFERROR(IF(VLOOKUP('Data Entry Form'!$CG112,tblData[],COLUMN(INDIRECT("tblData[[Day 3]]")),0)=0,"",VLOOKUP('Data Entry Form'!$CG112,tblData[],COLUMN(INDIRECT("tblData[[Day 3]]")),0)),"")</f>
        <v/>
      </c>
      <c r="I105" s="267" t="str">
        <f ca="1">IFERROR(IF(VLOOKUP('Data Entry Form'!$CG112,tblData[],COLUMN(INDIRECT("tblData[[Day 4]]")),0)=0,"",VLOOKUP('Data Entry Form'!$CG112,tblData[],COLUMN(INDIRECT("tblData[[Day 4]]")),0)),"")</f>
        <v/>
      </c>
      <c r="J105" s="267" t="str">
        <f ca="1">IFERROR(IF(VLOOKUP('Data Entry Form'!$CG112,tblData[],COLUMN(INDIRECT("tblData[[Day 5]]")),0)=0,"",VLOOKUP('Data Entry Form'!$CG112,tblData[],COLUMN(INDIRECT("tblData[[Day 5]]")),0)),"")</f>
        <v/>
      </c>
      <c r="K105" s="267" t="str">
        <f ca="1">IFERROR(IF(VLOOKUP('Data Entry Form'!$CG112,tblData[],COLUMN(INDIRECT("tblData[[Day 6]]")),0)=0,"",VLOOKUP('Data Entry Form'!$CG112,tblData[],COLUMN(INDIRECT("tblData[[Day 6]]")),0)),"")</f>
        <v/>
      </c>
      <c r="L105" s="267" t="str">
        <f ca="1">IFERROR(IF(VLOOKUP('Data Entry Form'!$CG112,tblData[],COLUMN(INDIRECT("tblData[[Day 7]]")),0)=0,"",VLOOKUP('Data Entry Form'!$CG112,tblData[],COLUMN(INDIRECT("tblData[[Day 7]]")),0)),"")</f>
        <v/>
      </c>
      <c r="M105" s="267" t="str">
        <f ca="1">IFERROR(IF(VLOOKUP('Data Entry Form'!$CG112,tblData[],COLUMN(INDIRECT("tblData[[Day 8]]")),0)=0,"",VLOOKUP('Data Entry Form'!$CG112,tblData[],COLUMN(INDIRECT("tblData[[Day 8]]")),0)),"")</f>
        <v/>
      </c>
      <c r="N105" s="267" t="str">
        <f ca="1">IFERROR(IF(VLOOKUP('Data Entry Form'!$CG112,tblData[],COLUMN(INDIRECT("tblData[[Day 9]]")),0)=0,"",VLOOKUP('Data Entry Form'!$CG112,tblData[],COLUMN(INDIRECT("tblData[[Day 9]]")),0)),"")</f>
        <v/>
      </c>
    </row>
    <row r="106" spans="1:14" s="125" customFormat="1" ht="32.1" customHeight="1">
      <c r="A106" s="261" t="str">
        <f ca="1">IFERROR(VLOOKUP('Data Entry Form'!$CG113,tblData[],COLUMN(INDIRECT("tblData[[No]]")),0),"")</f>
        <v/>
      </c>
      <c r="B106" s="262" t="str">
        <f ca="1">IFERROR(VLOOKUP('Data Entry Form'!$CG113,tblData[],COLUMN(INDIRECT("tblData[[Surname]]")),0),"")</f>
        <v/>
      </c>
      <c r="C106" s="262" t="str">
        <f ca="1">IFERROR(VLOOKUP('Data Entry Form'!$CG113,tblData[],COLUMN(INDIRECT("tblData[[Given Name]]")),0),"")</f>
        <v/>
      </c>
      <c r="D106" s="262" t="str">
        <f ca="1">IFERROR(VLOOKUP('Data Entry Form'!$CG113,tblData[],COLUMN(INDIRECT("tblData[[Position]]")),0),"")</f>
        <v/>
      </c>
      <c r="E106" s="262" t="str">
        <f ca="1">IFERROR(VLOOKUP('Data Entry Form'!$CG113,tblData[],COLUMN(INDIRECT("tblData[[Gender]]")),0),"")</f>
        <v/>
      </c>
      <c r="F106" s="267" t="str">
        <f ca="1">IFERROR(IF(VLOOKUP('Data Entry Form'!$CG113,tblData[],COLUMN(INDIRECT("tblData[[Day 1]]")),0)=0,"",VLOOKUP('Data Entry Form'!$CG113,tblData[],COLUMN(INDIRECT("tblData[[Day 1]]")),0)),"")</f>
        <v/>
      </c>
      <c r="G106" s="267" t="str">
        <f ca="1">IFERROR(IF(VLOOKUP('Data Entry Form'!$CG113,tblData[],COLUMN(INDIRECT("tblData[[Day 2]]")),0)=0,"",VLOOKUP('Data Entry Form'!$CG113,tblData[],COLUMN(INDIRECT("tblData[[Day 2]]")),0)),"")</f>
        <v/>
      </c>
      <c r="H106" s="267" t="str">
        <f ca="1">IFERROR(IF(VLOOKUP('Data Entry Form'!$CG113,tblData[],COLUMN(INDIRECT("tblData[[Day 3]]")),0)=0,"",VLOOKUP('Data Entry Form'!$CG113,tblData[],COLUMN(INDIRECT("tblData[[Day 3]]")),0)),"")</f>
        <v/>
      </c>
      <c r="I106" s="267" t="str">
        <f ca="1">IFERROR(IF(VLOOKUP('Data Entry Form'!$CG113,tblData[],COLUMN(INDIRECT("tblData[[Day 4]]")),0)=0,"",VLOOKUP('Data Entry Form'!$CG113,tblData[],COLUMN(INDIRECT("tblData[[Day 4]]")),0)),"")</f>
        <v/>
      </c>
      <c r="J106" s="267" t="str">
        <f ca="1">IFERROR(IF(VLOOKUP('Data Entry Form'!$CG113,tblData[],COLUMN(INDIRECT("tblData[[Day 5]]")),0)=0,"",VLOOKUP('Data Entry Form'!$CG113,tblData[],COLUMN(INDIRECT("tblData[[Day 5]]")),0)),"")</f>
        <v/>
      </c>
      <c r="K106" s="267" t="str">
        <f ca="1">IFERROR(IF(VLOOKUP('Data Entry Form'!$CG113,tblData[],COLUMN(INDIRECT("tblData[[Day 6]]")),0)=0,"",VLOOKUP('Data Entry Form'!$CG113,tblData[],COLUMN(INDIRECT("tblData[[Day 6]]")),0)),"")</f>
        <v/>
      </c>
      <c r="L106" s="267" t="str">
        <f ca="1">IFERROR(IF(VLOOKUP('Data Entry Form'!$CG113,tblData[],COLUMN(INDIRECT("tblData[[Day 7]]")),0)=0,"",VLOOKUP('Data Entry Form'!$CG113,tblData[],COLUMN(INDIRECT("tblData[[Day 7]]")),0)),"")</f>
        <v/>
      </c>
      <c r="M106" s="267" t="str">
        <f ca="1">IFERROR(IF(VLOOKUP('Data Entry Form'!$CG113,tblData[],COLUMN(INDIRECT("tblData[[Day 8]]")),0)=0,"",VLOOKUP('Data Entry Form'!$CG113,tblData[],COLUMN(INDIRECT("tblData[[Day 8]]")),0)),"")</f>
        <v/>
      </c>
      <c r="N106" s="267" t="str">
        <f ca="1">IFERROR(IF(VLOOKUP('Data Entry Form'!$CG113,tblData[],COLUMN(INDIRECT("tblData[[Day 9]]")),0)=0,"",VLOOKUP('Data Entry Form'!$CG113,tblData[],COLUMN(INDIRECT("tblData[[Day 9]]")),0)),"")</f>
        <v/>
      </c>
    </row>
    <row r="107" spans="1:14" s="125" customFormat="1" ht="32.1" customHeight="1">
      <c r="A107" s="261" t="str">
        <f ca="1">IFERROR(VLOOKUP('Data Entry Form'!$CG114,tblData[],COLUMN(INDIRECT("tblData[[No]]")),0),"")</f>
        <v/>
      </c>
      <c r="B107" s="262" t="str">
        <f ca="1">IFERROR(VLOOKUP('Data Entry Form'!$CG114,tblData[],COLUMN(INDIRECT("tblData[[Surname]]")),0),"")</f>
        <v/>
      </c>
      <c r="C107" s="262" t="str">
        <f ca="1">IFERROR(VLOOKUP('Data Entry Form'!$CG114,tblData[],COLUMN(INDIRECT("tblData[[Given Name]]")),0),"")</f>
        <v/>
      </c>
      <c r="D107" s="262" t="str">
        <f ca="1">IFERROR(VLOOKUP('Data Entry Form'!$CG114,tblData[],COLUMN(INDIRECT("tblData[[Position]]")),0),"")</f>
        <v/>
      </c>
      <c r="E107" s="262" t="str">
        <f ca="1">IFERROR(VLOOKUP('Data Entry Form'!$CG114,tblData[],COLUMN(INDIRECT("tblData[[Gender]]")),0),"")</f>
        <v/>
      </c>
      <c r="F107" s="267" t="str">
        <f ca="1">IFERROR(IF(VLOOKUP('Data Entry Form'!$CG114,tblData[],COLUMN(INDIRECT("tblData[[Day 1]]")),0)=0,"",VLOOKUP('Data Entry Form'!$CG114,tblData[],COLUMN(INDIRECT("tblData[[Day 1]]")),0)),"")</f>
        <v/>
      </c>
      <c r="G107" s="267" t="str">
        <f ca="1">IFERROR(IF(VLOOKUP('Data Entry Form'!$CG114,tblData[],COLUMN(INDIRECT("tblData[[Day 2]]")),0)=0,"",VLOOKUP('Data Entry Form'!$CG114,tblData[],COLUMN(INDIRECT("tblData[[Day 2]]")),0)),"")</f>
        <v/>
      </c>
      <c r="H107" s="267" t="str">
        <f ca="1">IFERROR(IF(VLOOKUP('Data Entry Form'!$CG114,tblData[],COLUMN(INDIRECT("tblData[[Day 3]]")),0)=0,"",VLOOKUP('Data Entry Form'!$CG114,tblData[],COLUMN(INDIRECT("tblData[[Day 3]]")),0)),"")</f>
        <v/>
      </c>
      <c r="I107" s="267" t="str">
        <f ca="1">IFERROR(IF(VLOOKUP('Data Entry Form'!$CG114,tblData[],COLUMN(INDIRECT("tblData[[Day 4]]")),0)=0,"",VLOOKUP('Data Entry Form'!$CG114,tblData[],COLUMN(INDIRECT("tblData[[Day 4]]")),0)),"")</f>
        <v/>
      </c>
      <c r="J107" s="267" t="str">
        <f ca="1">IFERROR(IF(VLOOKUP('Data Entry Form'!$CG114,tblData[],COLUMN(INDIRECT("tblData[[Day 5]]")),0)=0,"",VLOOKUP('Data Entry Form'!$CG114,tblData[],COLUMN(INDIRECT("tblData[[Day 5]]")),0)),"")</f>
        <v/>
      </c>
      <c r="K107" s="267" t="str">
        <f ca="1">IFERROR(IF(VLOOKUP('Data Entry Form'!$CG114,tblData[],COLUMN(INDIRECT("tblData[[Day 6]]")),0)=0,"",VLOOKUP('Data Entry Form'!$CG114,tblData[],COLUMN(INDIRECT("tblData[[Day 6]]")),0)),"")</f>
        <v/>
      </c>
      <c r="L107" s="267" t="str">
        <f ca="1">IFERROR(IF(VLOOKUP('Data Entry Form'!$CG114,tblData[],COLUMN(INDIRECT("tblData[[Day 7]]")),0)=0,"",VLOOKUP('Data Entry Form'!$CG114,tblData[],COLUMN(INDIRECT("tblData[[Day 7]]")),0)),"")</f>
        <v/>
      </c>
      <c r="M107" s="267" t="str">
        <f ca="1">IFERROR(IF(VLOOKUP('Data Entry Form'!$CG114,tblData[],COLUMN(INDIRECT("tblData[[Day 8]]")),0)=0,"",VLOOKUP('Data Entry Form'!$CG114,tblData[],COLUMN(INDIRECT("tblData[[Day 8]]")),0)),"")</f>
        <v/>
      </c>
      <c r="N107" s="267" t="str">
        <f ca="1">IFERROR(IF(VLOOKUP('Data Entry Form'!$CG114,tblData[],COLUMN(INDIRECT("tblData[[Day 9]]")),0)=0,"",VLOOKUP('Data Entry Form'!$CG114,tblData[],COLUMN(INDIRECT("tblData[[Day 9]]")),0)),"")</f>
        <v/>
      </c>
    </row>
    <row r="108" spans="1:14" s="125" customFormat="1" ht="32.1" customHeight="1">
      <c r="A108" s="261" t="str">
        <f ca="1">IFERROR(VLOOKUP('Data Entry Form'!$CG115,tblData[],COLUMN(INDIRECT("tblData[[No]]")),0),"")</f>
        <v/>
      </c>
      <c r="B108" s="262" t="str">
        <f ca="1">IFERROR(VLOOKUP('Data Entry Form'!$CG115,tblData[],COLUMN(INDIRECT("tblData[[Surname]]")),0),"")</f>
        <v/>
      </c>
      <c r="C108" s="262" t="str">
        <f ca="1">IFERROR(VLOOKUP('Data Entry Form'!$CG115,tblData[],COLUMN(INDIRECT("tblData[[Given Name]]")),0),"")</f>
        <v/>
      </c>
      <c r="D108" s="262" t="str">
        <f ca="1">IFERROR(VLOOKUP('Data Entry Form'!$CG115,tblData[],COLUMN(INDIRECT("tblData[[Position]]")),0),"")</f>
        <v/>
      </c>
      <c r="E108" s="262" t="str">
        <f ca="1">IFERROR(VLOOKUP('Data Entry Form'!$CG115,tblData[],COLUMN(INDIRECT("tblData[[Gender]]")),0),"")</f>
        <v/>
      </c>
      <c r="F108" s="267" t="str">
        <f ca="1">IFERROR(IF(VLOOKUP('Data Entry Form'!$CG115,tblData[],COLUMN(INDIRECT("tblData[[Day 1]]")),0)=0,"",VLOOKUP('Data Entry Form'!$CG115,tblData[],COLUMN(INDIRECT("tblData[[Day 1]]")),0)),"")</f>
        <v/>
      </c>
      <c r="G108" s="267" t="str">
        <f ca="1">IFERROR(IF(VLOOKUP('Data Entry Form'!$CG115,tblData[],COLUMN(INDIRECT("tblData[[Day 2]]")),0)=0,"",VLOOKUP('Data Entry Form'!$CG115,tblData[],COLUMN(INDIRECT("tblData[[Day 2]]")),0)),"")</f>
        <v/>
      </c>
      <c r="H108" s="267" t="str">
        <f ca="1">IFERROR(IF(VLOOKUP('Data Entry Form'!$CG115,tblData[],COLUMN(INDIRECT("tblData[[Day 3]]")),0)=0,"",VLOOKUP('Data Entry Form'!$CG115,tblData[],COLUMN(INDIRECT("tblData[[Day 3]]")),0)),"")</f>
        <v/>
      </c>
      <c r="I108" s="267" t="str">
        <f ca="1">IFERROR(IF(VLOOKUP('Data Entry Form'!$CG115,tblData[],COLUMN(INDIRECT("tblData[[Day 4]]")),0)=0,"",VLOOKUP('Data Entry Form'!$CG115,tblData[],COLUMN(INDIRECT("tblData[[Day 4]]")),0)),"")</f>
        <v/>
      </c>
      <c r="J108" s="267" t="str">
        <f ca="1">IFERROR(IF(VLOOKUP('Data Entry Form'!$CG115,tblData[],COLUMN(INDIRECT("tblData[[Day 5]]")),0)=0,"",VLOOKUP('Data Entry Form'!$CG115,tblData[],COLUMN(INDIRECT("tblData[[Day 5]]")),0)),"")</f>
        <v/>
      </c>
      <c r="K108" s="267" t="str">
        <f ca="1">IFERROR(IF(VLOOKUP('Data Entry Form'!$CG115,tblData[],COLUMN(INDIRECT("tblData[[Day 6]]")),0)=0,"",VLOOKUP('Data Entry Form'!$CG115,tblData[],COLUMN(INDIRECT("tblData[[Day 6]]")),0)),"")</f>
        <v/>
      </c>
      <c r="L108" s="267" t="str">
        <f ca="1">IFERROR(IF(VLOOKUP('Data Entry Form'!$CG115,tblData[],COLUMN(INDIRECT("tblData[[Day 7]]")),0)=0,"",VLOOKUP('Data Entry Form'!$CG115,tblData[],COLUMN(INDIRECT("tblData[[Day 7]]")),0)),"")</f>
        <v/>
      </c>
      <c r="M108" s="267" t="str">
        <f ca="1">IFERROR(IF(VLOOKUP('Data Entry Form'!$CG115,tblData[],COLUMN(INDIRECT("tblData[[Day 8]]")),0)=0,"",VLOOKUP('Data Entry Form'!$CG115,tblData[],COLUMN(INDIRECT("tblData[[Day 8]]")),0)),"")</f>
        <v/>
      </c>
      <c r="N108" s="267" t="str">
        <f ca="1">IFERROR(IF(VLOOKUP('Data Entry Form'!$CG115,tblData[],COLUMN(INDIRECT("tblData[[Day 9]]")),0)=0,"",VLOOKUP('Data Entry Form'!$CG115,tblData[],COLUMN(INDIRECT("tblData[[Day 9]]")),0)),"")</f>
        <v/>
      </c>
    </row>
    <row r="109" spans="1:14" s="125" customFormat="1" ht="32.1" customHeight="1">
      <c r="A109" s="261" t="str">
        <f ca="1">IFERROR(VLOOKUP('Data Entry Form'!$CG116,tblData[],COLUMN(INDIRECT("tblData[[No]]")),0),"")</f>
        <v/>
      </c>
      <c r="B109" s="262" t="str">
        <f ca="1">IFERROR(VLOOKUP('Data Entry Form'!$CG116,tblData[],COLUMN(INDIRECT("tblData[[Surname]]")),0),"")</f>
        <v/>
      </c>
      <c r="C109" s="262" t="str">
        <f ca="1">IFERROR(VLOOKUP('Data Entry Form'!$CG116,tblData[],COLUMN(INDIRECT("tblData[[Given Name]]")),0),"")</f>
        <v/>
      </c>
      <c r="D109" s="262" t="str">
        <f ca="1">IFERROR(VLOOKUP('Data Entry Form'!$CG116,tblData[],COLUMN(INDIRECT("tblData[[Position]]")),0),"")</f>
        <v/>
      </c>
      <c r="E109" s="262" t="str">
        <f ca="1">IFERROR(VLOOKUP('Data Entry Form'!$CG116,tblData[],COLUMN(INDIRECT("tblData[[Gender]]")),0),"")</f>
        <v/>
      </c>
      <c r="F109" s="267" t="str">
        <f ca="1">IFERROR(IF(VLOOKUP('Data Entry Form'!$CG116,tblData[],COLUMN(INDIRECT("tblData[[Day 1]]")),0)=0,"",VLOOKUP('Data Entry Form'!$CG116,tblData[],COLUMN(INDIRECT("tblData[[Day 1]]")),0)),"")</f>
        <v/>
      </c>
      <c r="G109" s="267" t="str">
        <f ca="1">IFERROR(IF(VLOOKUP('Data Entry Form'!$CG116,tblData[],COLUMN(INDIRECT("tblData[[Day 2]]")),0)=0,"",VLOOKUP('Data Entry Form'!$CG116,tblData[],COLUMN(INDIRECT("tblData[[Day 2]]")),0)),"")</f>
        <v/>
      </c>
      <c r="H109" s="267" t="str">
        <f ca="1">IFERROR(IF(VLOOKUP('Data Entry Form'!$CG116,tblData[],COLUMN(INDIRECT("tblData[[Day 3]]")),0)=0,"",VLOOKUP('Data Entry Form'!$CG116,tblData[],COLUMN(INDIRECT("tblData[[Day 3]]")),0)),"")</f>
        <v/>
      </c>
      <c r="I109" s="267" t="str">
        <f ca="1">IFERROR(IF(VLOOKUP('Data Entry Form'!$CG116,tblData[],COLUMN(INDIRECT("tblData[[Day 4]]")),0)=0,"",VLOOKUP('Data Entry Form'!$CG116,tblData[],COLUMN(INDIRECT("tblData[[Day 4]]")),0)),"")</f>
        <v/>
      </c>
      <c r="J109" s="267" t="str">
        <f ca="1">IFERROR(IF(VLOOKUP('Data Entry Form'!$CG116,tblData[],COLUMN(INDIRECT("tblData[[Day 5]]")),0)=0,"",VLOOKUP('Data Entry Form'!$CG116,tblData[],COLUMN(INDIRECT("tblData[[Day 5]]")),0)),"")</f>
        <v/>
      </c>
      <c r="K109" s="267" t="str">
        <f ca="1">IFERROR(IF(VLOOKUP('Data Entry Form'!$CG116,tblData[],COLUMN(INDIRECT("tblData[[Day 6]]")),0)=0,"",VLOOKUP('Data Entry Form'!$CG116,tblData[],COLUMN(INDIRECT("tblData[[Day 6]]")),0)),"")</f>
        <v/>
      </c>
      <c r="L109" s="267" t="str">
        <f ca="1">IFERROR(IF(VLOOKUP('Data Entry Form'!$CG116,tblData[],COLUMN(INDIRECT("tblData[[Day 7]]")),0)=0,"",VLOOKUP('Data Entry Form'!$CG116,tblData[],COLUMN(INDIRECT("tblData[[Day 7]]")),0)),"")</f>
        <v/>
      </c>
      <c r="M109" s="267" t="str">
        <f ca="1">IFERROR(IF(VLOOKUP('Data Entry Form'!$CG116,tblData[],COLUMN(INDIRECT("tblData[[Day 8]]")),0)=0,"",VLOOKUP('Data Entry Form'!$CG116,tblData[],COLUMN(INDIRECT("tblData[[Day 8]]")),0)),"")</f>
        <v/>
      </c>
      <c r="N109" s="267" t="str">
        <f ca="1">IFERROR(IF(VLOOKUP('Data Entry Form'!$CG116,tblData[],COLUMN(INDIRECT("tblData[[Day 9]]")),0)=0,"",VLOOKUP('Data Entry Form'!$CG116,tblData[],COLUMN(INDIRECT("tblData[[Day 9]]")),0)),"")</f>
        <v/>
      </c>
    </row>
    <row r="110" spans="1:14" s="125" customFormat="1" ht="32.1" customHeight="1">
      <c r="A110" s="261" t="str">
        <f ca="1">IFERROR(VLOOKUP('Data Entry Form'!$CG117,tblData[],COLUMN(INDIRECT("tblData[[No]]")),0),"")</f>
        <v/>
      </c>
      <c r="B110" s="262" t="str">
        <f ca="1">IFERROR(VLOOKUP('Data Entry Form'!$CG117,tblData[],COLUMN(INDIRECT("tblData[[Surname]]")),0),"")</f>
        <v/>
      </c>
      <c r="C110" s="262" t="str">
        <f ca="1">IFERROR(VLOOKUP('Data Entry Form'!$CG117,tblData[],COLUMN(INDIRECT("tblData[[Given Name]]")),0),"")</f>
        <v/>
      </c>
      <c r="D110" s="262" t="str">
        <f ca="1">IFERROR(VLOOKUP('Data Entry Form'!$CG117,tblData[],COLUMN(INDIRECT("tblData[[Position]]")),0),"")</f>
        <v/>
      </c>
      <c r="E110" s="262" t="str">
        <f ca="1">IFERROR(VLOOKUP('Data Entry Form'!$CG117,tblData[],COLUMN(INDIRECT("tblData[[Gender]]")),0),"")</f>
        <v/>
      </c>
      <c r="F110" s="267" t="str">
        <f ca="1">IFERROR(IF(VLOOKUP('Data Entry Form'!$CG117,tblData[],COLUMN(INDIRECT("tblData[[Day 1]]")),0)=0,"",VLOOKUP('Data Entry Form'!$CG117,tblData[],COLUMN(INDIRECT("tblData[[Day 1]]")),0)),"")</f>
        <v/>
      </c>
      <c r="G110" s="267" t="str">
        <f ca="1">IFERROR(IF(VLOOKUP('Data Entry Form'!$CG117,tblData[],COLUMN(INDIRECT("tblData[[Day 2]]")),0)=0,"",VLOOKUP('Data Entry Form'!$CG117,tblData[],COLUMN(INDIRECT("tblData[[Day 2]]")),0)),"")</f>
        <v/>
      </c>
      <c r="H110" s="267" t="str">
        <f ca="1">IFERROR(IF(VLOOKUP('Data Entry Form'!$CG117,tblData[],COLUMN(INDIRECT("tblData[[Day 3]]")),0)=0,"",VLOOKUP('Data Entry Form'!$CG117,tblData[],COLUMN(INDIRECT("tblData[[Day 3]]")),0)),"")</f>
        <v/>
      </c>
      <c r="I110" s="267" t="str">
        <f ca="1">IFERROR(IF(VLOOKUP('Data Entry Form'!$CG117,tblData[],COLUMN(INDIRECT("tblData[[Day 4]]")),0)=0,"",VLOOKUP('Data Entry Form'!$CG117,tblData[],COLUMN(INDIRECT("tblData[[Day 4]]")),0)),"")</f>
        <v/>
      </c>
      <c r="J110" s="267" t="str">
        <f ca="1">IFERROR(IF(VLOOKUP('Data Entry Form'!$CG117,tblData[],COLUMN(INDIRECT("tblData[[Day 5]]")),0)=0,"",VLOOKUP('Data Entry Form'!$CG117,tblData[],COLUMN(INDIRECT("tblData[[Day 5]]")),0)),"")</f>
        <v/>
      </c>
      <c r="K110" s="267" t="str">
        <f ca="1">IFERROR(IF(VLOOKUP('Data Entry Form'!$CG117,tblData[],COLUMN(INDIRECT("tblData[[Day 6]]")),0)=0,"",VLOOKUP('Data Entry Form'!$CG117,tblData[],COLUMN(INDIRECT("tblData[[Day 6]]")),0)),"")</f>
        <v/>
      </c>
      <c r="L110" s="267" t="str">
        <f ca="1">IFERROR(IF(VLOOKUP('Data Entry Form'!$CG117,tblData[],COLUMN(INDIRECT("tblData[[Day 7]]")),0)=0,"",VLOOKUP('Data Entry Form'!$CG117,tblData[],COLUMN(INDIRECT("tblData[[Day 7]]")),0)),"")</f>
        <v/>
      </c>
      <c r="M110" s="267" t="str">
        <f ca="1">IFERROR(IF(VLOOKUP('Data Entry Form'!$CG117,tblData[],COLUMN(INDIRECT("tblData[[Day 8]]")),0)=0,"",VLOOKUP('Data Entry Form'!$CG117,tblData[],COLUMN(INDIRECT("tblData[[Day 8]]")),0)),"")</f>
        <v/>
      </c>
      <c r="N110" s="267" t="str">
        <f ca="1">IFERROR(IF(VLOOKUP('Data Entry Form'!$CG117,tblData[],COLUMN(INDIRECT("tblData[[Day 9]]")),0)=0,"",VLOOKUP('Data Entry Form'!$CG117,tblData[],COLUMN(INDIRECT("tblData[[Day 9]]")),0)),"")</f>
        <v/>
      </c>
    </row>
    <row r="111" spans="1:14" s="125" customFormat="1" ht="32.1" customHeight="1">
      <c r="A111" s="261" t="str">
        <f ca="1">IFERROR(VLOOKUP('Data Entry Form'!$CG118,tblData[],COLUMN(INDIRECT("tblData[[No]]")),0),"")</f>
        <v/>
      </c>
      <c r="B111" s="262" t="str">
        <f ca="1">IFERROR(VLOOKUP('Data Entry Form'!$CG118,tblData[],COLUMN(INDIRECT("tblData[[Surname]]")),0),"")</f>
        <v/>
      </c>
      <c r="C111" s="262" t="str">
        <f ca="1">IFERROR(VLOOKUP('Data Entry Form'!$CG118,tblData[],COLUMN(INDIRECT("tblData[[Given Name]]")),0),"")</f>
        <v/>
      </c>
      <c r="D111" s="262" t="str">
        <f ca="1">IFERROR(VLOOKUP('Data Entry Form'!$CG118,tblData[],COLUMN(INDIRECT("tblData[[Position]]")),0),"")</f>
        <v/>
      </c>
      <c r="E111" s="262" t="str">
        <f ca="1">IFERROR(VLOOKUP('Data Entry Form'!$CG118,tblData[],COLUMN(INDIRECT("tblData[[Gender]]")),0),"")</f>
        <v/>
      </c>
      <c r="F111" s="267" t="str">
        <f ca="1">IFERROR(IF(VLOOKUP('Data Entry Form'!$CG118,tblData[],COLUMN(INDIRECT("tblData[[Day 1]]")),0)=0,"",VLOOKUP('Data Entry Form'!$CG118,tblData[],COLUMN(INDIRECT("tblData[[Day 1]]")),0)),"")</f>
        <v/>
      </c>
      <c r="G111" s="267" t="str">
        <f ca="1">IFERROR(IF(VLOOKUP('Data Entry Form'!$CG118,tblData[],COLUMN(INDIRECT("tblData[[Day 2]]")),0)=0,"",VLOOKUP('Data Entry Form'!$CG118,tblData[],COLUMN(INDIRECT("tblData[[Day 2]]")),0)),"")</f>
        <v/>
      </c>
      <c r="H111" s="267" t="str">
        <f ca="1">IFERROR(IF(VLOOKUP('Data Entry Form'!$CG118,tblData[],COLUMN(INDIRECT("tblData[[Day 3]]")),0)=0,"",VLOOKUP('Data Entry Form'!$CG118,tblData[],COLUMN(INDIRECT("tblData[[Day 3]]")),0)),"")</f>
        <v/>
      </c>
      <c r="I111" s="267" t="str">
        <f ca="1">IFERROR(IF(VLOOKUP('Data Entry Form'!$CG118,tblData[],COLUMN(INDIRECT("tblData[[Day 4]]")),0)=0,"",VLOOKUP('Data Entry Form'!$CG118,tblData[],COLUMN(INDIRECT("tblData[[Day 4]]")),0)),"")</f>
        <v/>
      </c>
      <c r="J111" s="267" t="str">
        <f ca="1">IFERROR(IF(VLOOKUP('Data Entry Form'!$CG118,tblData[],COLUMN(INDIRECT("tblData[[Day 5]]")),0)=0,"",VLOOKUP('Data Entry Form'!$CG118,tblData[],COLUMN(INDIRECT("tblData[[Day 5]]")),0)),"")</f>
        <v/>
      </c>
      <c r="K111" s="267" t="str">
        <f ca="1">IFERROR(IF(VLOOKUP('Data Entry Form'!$CG118,tblData[],COLUMN(INDIRECT("tblData[[Day 6]]")),0)=0,"",VLOOKUP('Data Entry Form'!$CG118,tblData[],COLUMN(INDIRECT("tblData[[Day 6]]")),0)),"")</f>
        <v/>
      </c>
      <c r="L111" s="267" t="str">
        <f ca="1">IFERROR(IF(VLOOKUP('Data Entry Form'!$CG118,tblData[],COLUMN(INDIRECT("tblData[[Day 7]]")),0)=0,"",VLOOKUP('Data Entry Form'!$CG118,tblData[],COLUMN(INDIRECT("tblData[[Day 7]]")),0)),"")</f>
        <v/>
      </c>
      <c r="M111" s="267" t="str">
        <f ca="1">IFERROR(IF(VLOOKUP('Data Entry Form'!$CG118,tblData[],COLUMN(INDIRECT("tblData[[Day 8]]")),0)=0,"",VLOOKUP('Data Entry Form'!$CG118,tblData[],COLUMN(INDIRECT("tblData[[Day 8]]")),0)),"")</f>
        <v/>
      </c>
      <c r="N111" s="267" t="str">
        <f ca="1">IFERROR(IF(VLOOKUP('Data Entry Form'!$CG118,tblData[],COLUMN(INDIRECT("tblData[[Day 9]]")),0)=0,"",VLOOKUP('Data Entry Form'!$CG118,tblData[],COLUMN(INDIRECT("tblData[[Day 9]]")),0)),"")</f>
        <v/>
      </c>
    </row>
    <row r="112" spans="1:14" s="125" customFormat="1" ht="32.1" customHeight="1">
      <c r="A112" s="261" t="str">
        <f ca="1">IFERROR(VLOOKUP('Data Entry Form'!$CG119,tblData[],COLUMN(INDIRECT("tblData[[No]]")),0),"")</f>
        <v/>
      </c>
      <c r="B112" s="262" t="str">
        <f ca="1">IFERROR(VLOOKUP('Data Entry Form'!$CG119,tblData[],COLUMN(INDIRECT("tblData[[Surname]]")),0),"")</f>
        <v/>
      </c>
      <c r="C112" s="262" t="str">
        <f ca="1">IFERROR(VLOOKUP('Data Entry Form'!$CG119,tblData[],COLUMN(INDIRECT("tblData[[Given Name]]")),0),"")</f>
        <v/>
      </c>
      <c r="D112" s="262" t="str">
        <f ca="1">IFERROR(VLOOKUP('Data Entry Form'!$CG119,tblData[],COLUMN(INDIRECT("tblData[[Position]]")),0),"")</f>
        <v/>
      </c>
      <c r="E112" s="262" t="str">
        <f ca="1">IFERROR(VLOOKUP('Data Entry Form'!$CG119,tblData[],COLUMN(INDIRECT("tblData[[Gender]]")),0),"")</f>
        <v/>
      </c>
      <c r="F112" s="267" t="str">
        <f ca="1">IFERROR(IF(VLOOKUP('Data Entry Form'!$CG119,tblData[],COLUMN(INDIRECT("tblData[[Day 1]]")),0)=0,"",VLOOKUP('Data Entry Form'!$CG119,tblData[],COLUMN(INDIRECT("tblData[[Day 1]]")),0)),"")</f>
        <v/>
      </c>
      <c r="G112" s="267" t="str">
        <f ca="1">IFERROR(IF(VLOOKUP('Data Entry Form'!$CG119,tblData[],COLUMN(INDIRECT("tblData[[Day 2]]")),0)=0,"",VLOOKUP('Data Entry Form'!$CG119,tblData[],COLUMN(INDIRECT("tblData[[Day 2]]")),0)),"")</f>
        <v/>
      </c>
      <c r="H112" s="267" t="str">
        <f ca="1">IFERROR(IF(VLOOKUP('Data Entry Form'!$CG119,tblData[],COLUMN(INDIRECT("tblData[[Day 3]]")),0)=0,"",VLOOKUP('Data Entry Form'!$CG119,tblData[],COLUMN(INDIRECT("tblData[[Day 3]]")),0)),"")</f>
        <v/>
      </c>
      <c r="I112" s="267" t="str">
        <f ca="1">IFERROR(IF(VLOOKUP('Data Entry Form'!$CG119,tblData[],COLUMN(INDIRECT("tblData[[Day 4]]")),0)=0,"",VLOOKUP('Data Entry Form'!$CG119,tblData[],COLUMN(INDIRECT("tblData[[Day 4]]")),0)),"")</f>
        <v/>
      </c>
      <c r="J112" s="267" t="str">
        <f ca="1">IFERROR(IF(VLOOKUP('Data Entry Form'!$CG119,tblData[],COLUMN(INDIRECT("tblData[[Day 5]]")),0)=0,"",VLOOKUP('Data Entry Form'!$CG119,tblData[],COLUMN(INDIRECT("tblData[[Day 5]]")),0)),"")</f>
        <v/>
      </c>
      <c r="K112" s="267" t="str">
        <f ca="1">IFERROR(IF(VLOOKUP('Data Entry Form'!$CG119,tblData[],COLUMN(INDIRECT("tblData[[Day 6]]")),0)=0,"",VLOOKUP('Data Entry Form'!$CG119,tblData[],COLUMN(INDIRECT("tblData[[Day 6]]")),0)),"")</f>
        <v/>
      </c>
      <c r="L112" s="267" t="str">
        <f ca="1">IFERROR(IF(VLOOKUP('Data Entry Form'!$CG119,tblData[],COLUMN(INDIRECT("tblData[[Day 7]]")),0)=0,"",VLOOKUP('Data Entry Form'!$CG119,tblData[],COLUMN(INDIRECT("tblData[[Day 7]]")),0)),"")</f>
        <v/>
      </c>
      <c r="M112" s="267" t="str">
        <f ca="1">IFERROR(IF(VLOOKUP('Data Entry Form'!$CG119,tblData[],COLUMN(INDIRECT("tblData[[Day 8]]")),0)=0,"",VLOOKUP('Data Entry Form'!$CG119,tblData[],COLUMN(INDIRECT("tblData[[Day 8]]")),0)),"")</f>
        <v/>
      </c>
      <c r="N112" s="267" t="str">
        <f ca="1">IFERROR(IF(VLOOKUP('Data Entry Form'!$CG119,tblData[],COLUMN(INDIRECT("tblData[[Day 9]]")),0)=0,"",VLOOKUP('Data Entry Form'!$CG119,tblData[],COLUMN(INDIRECT("tblData[[Day 9]]")),0)),"")</f>
        <v/>
      </c>
    </row>
    <row r="113" spans="1:14" s="125" customFormat="1" ht="32.1" customHeight="1">
      <c r="A113" s="261" t="str">
        <f ca="1">IFERROR(VLOOKUP('Data Entry Form'!$CG120,tblData[],COLUMN(INDIRECT("tblData[[No]]")),0),"")</f>
        <v/>
      </c>
      <c r="B113" s="262" t="str">
        <f ca="1">IFERROR(VLOOKUP('Data Entry Form'!$CG120,tblData[],COLUMN(INDIRECT("tblData[[Surname]]")),0),"")</f>
        <v/>
      </c>
      <c r="C113" s="262" t="str">
        <f ca="1">IFERROR(VLOOKUP('Data Entry Form'!$CG120,tblData[],COLUMN(INDIRECT("tblData[[Given Name]]")),0),"")</f>
        <v/>
      </c>
      <c r="D113" s="262" t="str">
        <f ca="1">IFERROR(VLOOKUP('Data Entry Form'!$CG120,tblData[],COLUMN(INDIRECT("tblData[[Position]]")),0),"")</f>
        <v/>
      </c>
      <c r="E113" s="262" t="str">
        <f ca="1">IFERROR(VLOOKUP('Data Entry Form'!$CG120,tblData[],COLUMN(INDIRECT("tblData[[Gender]]")),0),"")</f>
        <v/>
      </c>
      <c r="F113" s="267" t="str">
        <f ca="1">IFERROR(IF(VLOOKUP('Data Entry Form'!$CG120,tblData[],COLUMN(INDIRECT("tblData[[Day 1]]")),0)=0,"",VLOOKUP('Data Entry Form'!$CG120,tblData[],COLUMN(INDIRECT("tblData[[Day 1]]")),0)),"")</f>
        <v/>
      </c>
      <c r="G113" s="267" t="str">
        <f ca="1">IFERROR(IF(VLOOKUP('Data Entry Form'!$CG120,tblData[],COLUMN(INDIRECT("tblData[[Day 2]]")),0)=0,"",VLOOKUP('Data Entry Form'!$CG120,tblData[],COLUMN(INDIRECT("tblData[[Day 2]]")),0)),"")</f>
        <v/>
      </c>
      <c r="H113" s="267" t="str">
        <f ca="1">IFERROR(IF(VLOOKUP('Data Entry Form'!$CG120,tblData[],COLUMN(INDIRECT("tblData[[Day 3]]")),0)=0,"",VLOOKUP('Data Entry Form'!$CG120,tblData[],COLUMN(INDIRECT("tblData[[Day 3]]")),0)),"")</f>
        <v/>
      </c>
      <c r="I113" s="267" t="str">
        <f ca="1">IFERROR(IF(VLOOKUP('Data Entry Form'!$CG120,tblData[],COLUMN(INDIRECT("tblData[[Day 4]]")),0)=0,"",VLOOKUP('Data Entry Form'!$CG120,tblData[],COLUMN(INDIRECT("tblData[[Day 4]]")),0)),"")</f>
        <v/>
      </c>
      <c r="J113" s="267" t="str">
        <f ca="1">IFERROR(IF(VLOOKUP('Data Entry Form'!$CG120,tblData[],COLUMN(INDIRECT("tblData[[Day 5]]")),0)=0,"",VLOOKUP('Data Entry Form'!$CG120,tblData[],COLUMN(INDIRECT("tblData[[Day 5]]")),0)),"")</f>
        <v/>
      </c>
      <c r="K113" s="267" t="str">
        <f ca="1">IFERROR(IF(VLOOKUP('Data Entry Form'!$CG120,tblData[],COLUMN(INDIRECT("tblData[[Day 6]]")),0)=0,"",VLOOKUP('Data Entry Form'!$CG120,tblData[],COLUMN(INDIRECT("tblData[[Day 6]]")),0)),"")</f>
        <v/>
      </c>
      <c r="L113" s="267" t="str">
        <f ca="1">IFERROR(IF(VLOOKUP('Data Entry Form'!$CG120,tblData[],COLUMN(INDIRECT("tblData[[Day 7]]")),0)=0,"",VLOOKUP('Data Entry Form'!$CG120,tblData[],COLUMN(INDIRECT("tblData[[Day 7]]")),0)),"")</f>
        <v/>
      </c>
      <c r="M113" s="267" t="str">
        <f ca="1">IFERROR(IF(VLOOKUP('Data Entry Form'!$CG120,tblData[],COLUMN(INDIRECT("tblData[[Day 8]]")),0)=0,"",VLOOKUP('Data Entry Form'!$CG120,tblData[],COLUMN(INDIRECT("tblData[[Day 8]]")),0)),"")</f>
        <v/>
      </c>
      <c r="N113" s="267" t="str">
        <f ca="1">IFERROR(IF(VLOOKUP('Data Entry Form'!$CG120,tblData[],COLUMN(INDIRECT("tblData[[Day 9]]")),0)=0,"",VLOOKUP('Data Entry Form'!$CG120,tblData[],COLUMN(INDIRECT("tblData[[Day 9]]")),0)),"")</f>
        <v/>
      </c>
    </row>
    <row r="114" spans="1:14" s="125" customFormat="1" ht="32.1" customHeight="1">
      <c r="A114" s="261" t="str">
        <f ca="1">IFERROR(VLOOKUP('Data Entry Form'!$CG121,tblData[],COLUMN(INDIRECT("tblData[[No]]")),0),"")</f>
        <v/>
      </c>
      <c r="B114" s="262" t="str">
        <f ca="1">IFERROR(VLOOKUP('Data Entry Form'!$CG121,tblData[],COLUMN(INDIRECT("tblData[[Surname]]")),0),"")</f>
        <v/>
      </c>
      <c r="C114" s="262" t="str">
        <f ca="1">IFERROR(VLOOKUP('Data Entry Form'!$CG121,tblData[],COLUMN(INDIRECT("tblData[[Given Name]]")),0),"")</f>
        <v/>
      </c>
      <c r="D114" s="262" t="str">
        <f ca="1">IFERROR(VLOOKUP('Data Entry Form'!$CG121,tblData[],COLUMN(INDIRECT("tblData[[Position]]")),0),"")</f>
        <v/>
      </c>
      <c r="E114" s="262" t="str">
        <f ca="1">IFERROR(VLOOKUP('Data Entry Form'!$CG121,tblData[],COLUMN(INDIRECT("tblData[[Gender]]")),0),"")</f>
        <v/>
      </c>
      <c r="F114" s="267" t="str">
        <f ca="1">IFERROR(IF(VLOOKUP('Data Entry Form'!$CG121,tblData[],COLUMN(INDIRECT("tblData[[Day 1]]")),0)=0,"",VLOOKUP('Data Entry Form'!$CG121,tblData[],COLUMN(INDIRECT("tblData[[Day 1]]")),0)),"")</f>
        <v/>
      </c>
      <c r="G114" s="267" t="str">
        <f ca="1">IFERROR(IF(VLOOKUP('Data Entry Form'!$CG121,tblData[],COLUMN(INDIRECT("tblData[[Day 2]]")),0)=0,"",VLOOKUP('Data Entry Form'!$CG121,tblData[],COLUMN(INDIRECT("tblData[[Day 2]]")),0)),"")</f>
        <v/>
      </c>
      <c r="H114" s="267" t="str">
        <f ca="1">IFERROR(IF(VLOOKUP('Data Entry Form'!$CG121,tblData[],COLUMN(INDIRECT("tblData[[Day 3]]")),0)=0,"",VLOOKUP('Data Entry Form'!$CG121,tblData[],COLUMN(INDIRECT("tblData[[Day 3]]")),0)),"")</f>
        <v/>
      </c>
      <c r="I114" s="267" t="str">
        <f ca="1">IFERROR(IF(VLOOKUP('Data Entry Form'!$CG121,tblData[],COLUMN(INDIRECT("tblData[[Day 4]]")),0)=0,"",VLOOKUP('Data Entry Form'!$CG121,tblData[],COLUMN(INDIRECT("tblData[[Day 4]]")),0)),"")</f>
        <v/>
      </c>
      <c r="J114" s="267" t="str">
        <f ca="1">IFERROR(IF(VLOOKUP('Data Entry Form'!$CG121,tblData[],COLUMN(INDIRECT("tblData[[Day 5]]")),0)=0,"",VLOOKUP('Data Entry Form'!$CG121,tblData[],COLUMN(INDIRECT("tblData[[Day 5]]")),0)),"")</f>
        <v/>
      </c>
      <c r="K114" s="267" t="str">
        <f ca="1">IFERROR(IF(VLOOKUP('Data Entry Form'!$CG121,tblData[],COLUMN(INDIRECT("tblData[[Day 6]]")),0)=0,"",VLOOKUP('Data Entry Form'!$CG121,tblData[],COLUMN(INDIRECT("tblData[[Day 6]]")),0)),"")</f>
        <v/>
      </c>
      <c r="L114" s="267" t="str">
        <f ca="1">IFERROR(IF(VLOOKUP('Data Entry Form'!$CG121,tblData[],COLUMN(INDIRECT("tblData[[Day 7]]")),0)=0,"",VLOOKUP('Data Entry Form'!$CG121,tblData[],COLUMN(INDIRECT("tblData[[Day 7]]")),0)),"")</f>
        <v/>
      </c>
      <c r="M114" s="267" t="str">
        <f ca="1">IFERROR(IF(VLOOKUP('Data Entry Form'!$CG121,tblData[],COLUMN(INDIRECT("tblData[[Day 8]]")),0)=0,"",VLOOKUP('Data Entry Form'!$CG121,tblData[],COLUMN(INDIRECT("tblData[[Day 8]]")),0)),"")</f>
        <v/>
      </c>
      <c r="N114" s="267" t="str">
        <f ca="1">IFERROR(IF(VLOOKUP('Data Entry Form'!$CG121,tblData[],COLUMN(INDIRECT("tblData[[Day 9]]")),0)=0,"",VLOOKUP('Data Entry Form'!$CG121,tblData[],COLUMN(INDIRECT("tblData[[Day 9]]")),0)),"")</f>
        <v/>
      </c>
    </row>
    <row r="115" spans="1:14" s="125" customFormat="1" ht="32.1" customHeight="1">
      <c r="A115" s="261" t="str">
        <f ca="1">IFERROR(VLOOKUP('Data Entry Form'!$CG122,tblData[],COLUMN(INDIRECT("tblData[[No]]")),0),"")</f>
        <v/>
      </c>
      <c r="B115" s="262" t="str">
        <f ca="1">IFERROR(VLOOKUP('Data Entry Form'!$CG122,tblData[],COLUMN(INDIRECT("tblData[[Surname]]")),0),"")</f>
        <v/>
      </c>
      <c r="C115" s="262" t="str">
        <f ca="1">IFERROR(VLOOKUP('Data Entry Form'!$CG122,tblData[],COLUMN(INDIRECT("tblData[[Given Name]]")),0),"")</f>
        <v/>
      </c>
      <c r="D115" s="262" t="str">
        <f ca="1">IFERROR(VLOOKUP('Data Entry Form'!$CG122,tblData[],COLUMN(INDIRECT("tblData[[Position]]")),0),"")</f>
        <v/>
      </c>
      <c r="E115" s="262" t="str">
        <f ca="1">IFERROR(VLOOKUP('Data Entry Form'!$CG122,tblData[],COLUMN(INDIRECT("tblData[[Gender]]")),0),"")</f>
        <v/>
      </c>
      <c r="F115" s="267" t="str">
        <f ca="1">IFERROR(IF(VLOOKUP('Data Entry Form'!$CG122,tblData[],COLUMN(INDIRECT("tblData[[Day 1]]")),0)=0,"",VLOOKUP('Data Entry Form'!$CG122,tblData[],COLUMN(INDIRECT("tblData[[Day 1]]")),0)),"")</f>
        <v/>
      </c>
      <c r="G115" s="267" t="str">
        <f ca="1">IFERROR(IF(VLOOKUP('Data Entry Form'!$CG122,tblData[],COLUMN(INDIRECT("tblData[[Day 2]]")),0)=0,"",VLOOKUP('Data Entry Form'!$CG122,tblData[],COLUMN(INDIRECT("tblData[[Day 2]]")),0)),"")</f>
        <v/>
      </c>
      <c r="H115" s="267" t="str">
        <f ca="1">IFERROR(IF(VLOOKUP('Data Entry Form'!$CG122,tblData[],COLUMN(INDIRECT("tblData[[Day 3]]")),0)=0,"",VLOOKUP('Data Entry Form'!$CG122,tblData[],COLUMN(INDIRECT("tblData[[Day 3]]")),0)),"")</f>
        <v/>
      </c>
      <c r="I115" s="267" t="str">
        <f ca="1">IFERROR(IF(VLOOKUP('Data Entry Form'!$CG122,tblData[],COLUMN(INDIRECT("tblData[[Day 4]]")),0)=0,"",VLOOKUP('Data Entry Form'!$CG122,tblData[],COLUMN(INDIRECT("tblData[[Day 4]]")),0)),"")</f>
        <v/>
      </c>
      <c r="J115" s="267" t="str">
        <f ca="1">IFERROR(IF(VLOOKUP('Data Entry Form'!$CG122,tblData[],COLUMN(INDIRECT("tblData[[Day 5]]")),0)=0,"",VLOOKUP('Data Entry Form'!$CG122,tblData[],COLUMN(INDIRECT("tblData[[Day 5]]")),0)),"")</f>
        <v/>
      </c>
      <c r="K115" s="267" t="str">
        <f ca="1">IFERROR(IF(VLOOKUP('Data Entry Form'!$CG122,tblData[],COLUMN(INDIRECT("tblData[[Day 6]]")),0)=0,"",VLOOKUP('Data Entry Form'!$CG122,tblData[],COLUMN(INDIRECT("tblData[[Day 6]]")),0)),"")</f>
        <v/>
      </c>
      <c r="L115" s="267" t="str">
        <f ca="1">IFERROR(IF(VLOOKUP('Data Entry Form'!$CG122,tblData[],COLUMN(INDIRECT("tblData[[Day 7]]")),0)=0,"",VLOOKUP('Data Entry Form'!$CG122,tblData[],COLUMN(INDIRECT("tblData[[Day 7]]")),0)),"")</f>
        <v/>
      </c>
      <c r="M115" s="267" t="str">
        <f ca="1">IFERROR(IF(VLOOKUP('Data Entry Form'!$CG122,tblData[],COLUMN(INDIRECT("tblData[[Day 8]]")),0)=0,"",VLOOKUP('Data Entry Form'!$CG122,tblData[],COLUMN(INDIRECT("tblData[[Day 8]]")),0)),"")</f>
        <v/>
      </c>
      <c r="N115" s="267" t="str">
        <f ca="1">IFERROR(IF(VLOOKUP('Data Entry Form'!$CG122,tblData[],COLUMN(INDIRECT("tblData[[Day 9]]")),0)=0,"",VLOOKUP('Data Entry Form'!$CG122,tblData[],COLUMN(INDIRECT("tblData[[Day 9]]")),0)),"")</f>
        <v/>
      </c>
    </row>
    <row r="116" spans="1:14" s="125" customFormat="1" ht="32.1" customHeight="1">
      <c r="A116" s="263" t="str">
        <f ca="1">IFERROR(VLOOKUP('Data Entry Form'!$CG123,tblData[],COLUMN(INDIRECT("tblData[[No]]")),0),"")</f>
        <v/>
      </c>
      <c r="B116" s="264" t="str">
        <f ca="1">IFERROR(VLOOKUP('Data Entry Form'!$CG123,tblData[],COLUMN(INDIRECT("tblData[[Surname]]")),0),"")</f>
        <v/>
      </c>
      <c r="C116" s="264" t="str">
        <f ca="1">IFERROR(VLOOKUP('Data Entry Form'!$CG123,tblData[],COLUMN(INDIRECT("tblData[[Given Name]]")),0),"")</f>
        <v/>
      </c>
      <c r="D116" s="264" t="str">
        <f ca="1">IFERROR(VLOOKUP('Data Entry Form'!$CG123,tblData[],COLUMN(INDIRECT("tblData[[Position]]")),0),"")</f>
        <v/>
      </c>
      <c r="E116" s="264" t="str">
        <f ca="1">IFERROR(VLOOKUP('Data Entry Form'!$CG123,tblData[],COLUMN(INDIRECT("tblData[[Gender]]")),0),"")</f>
        <v/>
      </c>
      <c r="F116" s="267" t="str">
        <f ca="1">IFERROR(IF(VLOOKUP('Data Entry Form'!$CG123,tblData[],COLUMN(INDIRECT("tblData[[Day 1]]")),0)=0,"",VLOOKUP('Data Entry Form'!$CG123,tblData[],COLUMN(INDIRECT("tblData[[Day 1]]")),0)),"")</f>
        <v/>
      </c>
      <c r="G116" s="267" t="str">
        <f ca="1">IFERROR(IF(VLOOKUP('Data Entry Form'!$CG123,tblData[],COLUMN(INDIRECT("tblData[[Day 2]]")),0)=0,"",VLOOKUP('Data Entry Form'!$CG123,tblData[],COLUMN(INDIRECT("tblData[[Day 2]]")),0)),"")</f>
        <v/>
      </c>
      <c r="H116" s="267" t="str">
        <f ca="1">IFERROR(IF(VLOOKUP('Data Entry Form'!$CG123,tblData[],COLUMN(INDIRECT("tblData[[Day 3]]")),0)=0,"",VLOOKUP('Data Entry Form'!$CG123,tblData[],COLUMN(INDIRECT("tblData[[Day 3]]")),0)),"")</f>
        <v/>
      </c>
      <c r="I116" s="267" t="str">
        <f ca="1">IFERROR(IF(VLOOKUP('Data Entry Form'!$CG123,tblData[],COLUMN(INDIRECT("tblData[[Day 4]]")),0)=0,"",VLOOKUP('Data Entry Form'!$CG123,tblData[],COLUMN(INDIRECT("tblData[[Day 4]]")),0)),"")</f>
        <v/>
      </c>
      <c r="J116" s="267" t="str">
        <f ca="1">IFERROR(IF(VLOOKUP('Data Entry Form'!$CG123,tblData[],COLUMN(INDIRECT("tblData[[Day 5]]")),0)=0,"",VLOOKUP('Data Entry Form'!$CG123,tblData[],COLUMN(INDIRECT("tblData[[Day 5]]")),0)),"")</f>
        <v/>
      </c>
      <c r="K116" s="267" t="str">
        <f ca="1">IFERROR(IF(VLOOKUP('Data Entry Form'!$CG123,tblData[],COLUMN(INDIRECT("tblData[[Day 6]]")),0)=0,"",VLOOKUP('Data Entry Form'!$CG123,tblData[],COLUMN(INDIRECT("tblData[[Day 6]]")),0)),"")</f>
        <v/>
      </c>
      <c r="L116" s="267" t="str">
        <f ca="1">IFERROR(IF(VLOOKUP('Data Entry Form'!$CG123,tblData[],COLUMN(INDIRECT("tblData[[Day 7]]")),0)=0,"",VLOOKUP('Data Entry Form'!$CG123,tblData[],COLUMN(INDIRECT("tblData[[Day 7]]")),0)),"")</f>
        <v/>
      </c>
      <c r="M116" s="267" t="str">
        <f ca="1">IFERROR(IF(VLOOKUP('Data Entry Form'!$CG123,tblData[],COLUMN(INDIRECT("tblData[[Day 8]]")),0)=0,"",VLOOKUP('Data Entry Form'!$CG123,tblData[],COLUMN(INDIRECT("tblData[[Day 8]]")),0)),"")</f>
        <v/>
      </c>
      <c r="N116" s="267" t="str">
        <f ca="1">IFERROR(IF(VLOOKUP('Data Entry Form'!$CG123,tblData[],COLUMN(INDIRECT("tblData[[Day 9]]")),0)=0,"",VLOOKUP('Data Entry Form'!$CG123,tblData[],COLUMN(INDIRECT("tblData[[Day 9]]")),0)),"")</f>
        <v/>
      </c>
    </row>
  </sheetData>
  <sheetProtection password="E8E9" sheet="1" objects="1" scenarios="1"/>
  <mergeCells count="2">
    <mergeCell ref="A1:N1"/>
    <mergeCell ref="A3:N3"/>
  </mergeCells>
  <phoneticPr fontId="8" type="noConversion"/>
  <pageMargins left="0.70866141732283472" right="0.70866141732283472" top="0.74803149606299213" bottom="0.74803149606299213" header="0.31496062992125984" footer="0.31496062992125984"/>
  <pageSetup paperSize="9" scale="81" fitToHeight="10" orientation="landscape" r:id="rId1"/>
  <headerFooter>
    <oddFooter>&amp;C&amp;"Calibri,Standard"&amp;10&amp;K124586Page &amp;P of &amp;N&amp;R&amp;"Calibri,Standard"&amp;10&amp;K124586Printed on : &amp;D &amp;T</oddFooter>
  </headerFooter>
  <ignoredErrors>
    <ignoredError sqref="A8:E116 A7:E7" calculatedColumn="1"/>
  </ignoredErrors>
  <tableParts count="1">
    <tablePart r:id="rId2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Tabelle9">
    <pageSetUpPr fitToPage="1"/>
  </sheetPr>
  <dimension ref="A1:U23"/>
  <sheetViews>
    <sheetView showGridLines="0" showRowColHeaders="0" workbookViewId="0">
      <selection activeCell="D11" sqref="D11"/>
    </sheetView>
  </sheetViews>
  <sheetFormatPr baseColWidth="10" defaultColWidth="10.875" defaultRowHeight="15.75"/>
  <cols>
    <col min="1" max="1" width="14.625" style="92" customWidth="1"/>
    <col min="2" max="2" width="16.875" style="92" customWidth="1"/>
    <col min="3" max="11" width="8.125" style="92" customWidth="1"/>
    <col min="12" max="12" width="9.125" style="92" customWidth="1"/>
    <col min="13" max="16384" width="10.875" style="92"/>
  </cols>
  <sheetData>
    <row r="1" spans="1:12" ht="26.25">
      <c r="A1" s="499" t="str">
        <f>Header1</f>
        <v>JUNIOR EUROPEAN JUDO CUP</v>
      </c>
      <c r="B1" s="499"/>
      <c r="C1" s="499"/>
      <c r="D1" s="499"/>
      <c r="E1" s="499"/>
      <c r="F1" s="499"/>
      <c r="G1" s="499"/>
      <c r="H1" s="499"/>
      <c r="I1" s="499"/>
      <c r="J1" s="499"/>
      <c r="K1" s="499"/>
      <c r="L1" s="499"/>
    </row>
    <row r="2" spans="1:12" ht="38.1" customHeight="1">
      <c r="A2" s="500" t="str">
        <f>Header2</f>
        <v>IJF WORLD JUNIOR TOUR, June, 02 and 03, 2018 
EJU JUNIOR TRAINING CAMP, June 04 to 06, 2018 (Leibnitz - Austria)</v>
      </c>
      <c r="B2" s="500"/>
      <c r="C2" s="500"/>
      <c r="D2" s="500"/>
      <c r="E2" s="500"/>
      <c r="F2" s="500"/>
      <c r="G2" s="500"/>
      <c r="H2" s="500"/>
      <c r="I2" s="500"/>
      <c r="J2" s="500"/>
      <c r="K2" s="500"/>
      <c r="L2" s="500"/>
    </row>
    <row r="4" spans="1:12" ht="26.25">
      <c r="A4" s="270" t="s">
        <v>229</v>
      </c>
    </row>
    <row r="5" spans="1:12" ht="16.5" thickBot="1"/>
    <row r="6" spans="1:12">
      <c r="A6" s="639" t="s">
        <v>204</v>
      </c>
      <c r="B6" s="640"/>
      <c r="C6" s="640"/>
      <c r="D6" s="641"/>
      <c r="F6" s="639" t="s">
        <v>205</v>
      </c>
      <c r="G6" s="640"/>
      <c r="H6" s="640"/>
      <c r="I6" s="640"/>
      <c r="J6" s="640"/>
      <c r="K6" s="640"/>
      <c r="L6" s="641"/>
    </row>
    <row r="7" spans="1:12" ht="16.5" thickBot="1">
      <c r="A7" s="655" t="str">
        <f>IF(ISBLANK(Kontrolle!C6),"",Kontrolle!C6)</f>
        <v/>
      </c>
      <c r="B7" s="656"/>
      <c r="C7" s="656"/>
      <c r="D7" s="657"/>
      <c r="F7" s="655">
        <f>Kontrolle!C1</f>
        <v>0</v>
      </c>
      <c r="G7" s="656"/>
      <c r="H7" s="656"/>
      <c r="I7" s="656"/>
      <c r="J7" s="656"/>
      <c r="K7" s="656"/>
      <c r="L7" s="657"/>
    </row>
    <row r="8" spans="1:12" ht="21.95" customHeight="1">
      <c r="A8" s="650"/>
      <c r="B8" s="650"/>
      <c r="C8" s="650"/>
    </row>
    <row r="9" spans="1:12" ht="16.5" thickBot="1">
      <c r="C9" s="503" t="s">
        <v>228</v>
      </c>
      <c r="D9" s="503"/>
      <c r="E9" s="503"/>
      <c r="F9" s="503"/>
      <c r="G9" s="503"/>
      <c r="H9" s="503"/>
      <c r="I9" s="503"/>
      <c r="J9" s="503"/>
      <c r="K9" s="503"/>
    </row>
    <row r="10" spans="1:12" ht="39" customHeight="1" thickBot="1">
      <c r="A10" s="646" t="s">
        <v>212</v>
      </c>
      <c r="B10" s="647"/>
      <c r="C10" s="275">
        <f>StartDate</f>
        <v>43249</v>
      </c>
      <c r="D10" s="273">
        <f>C10+1</f>
        <v>43250</v>
      </c>
      <c r="E10" s="273">
        <f t="shared" ref="E10:K10" si="0">D10+1</f>
        <v>43251</v>
      </c>
      <c r="F10" s="273">
        <f t="shared" si="0"/>
        <v>43252</v>
      </c>
      <c r="G10" s="273">
        <f t="shared" si="0"/>
        <v>43253</v>
      </c>
      <c r="H10" s="273">
        <f t="shared" si="0"/>
        <v>43254</v>
      </c>
      <c r="I10" s="273">
        <f t="shared" si="0"/>
        <v>43255</v>
      </c>
      <c r="J10" s="273">
        <f t="shared" si="0"/>
        <v>43256</v>
      </c>
      <c r="K10" s="273">
        <f t="shared" si="0"/>
        <v>43257</v>
      </c>
      <c r="L10" s="289" t="s">
        <v>224</v>
      </c>
    </row>
    <row r="11" spans="1:12" ht="26.1" customHeight="1">
      <c r="A11" s="651" t="s">
        <v>206</v>
      </c>
      <c r="B11" s="652"/>
      <c r="C11" s="276">
        <f ca="1">SUM(Kontrolle!C16:C17)</f>
        <v>0</v>
      </c>
      <c r="D11" s="272">
        <f ca="1">SUM(Kontrolle!D16:D17)</f>
        <v>0</v>
      </c>
      <c r="E11" s="272">
        <f ca="1">SUM(Kontrolle!E16:E17)</f>
        <v>0</v>
      </c>
      <c r="F11" s="272">
        <f ca="1">SUM(Kontrolle!F16:F17)</f>
        <v>0</v>
      </c>
      <c r="G11" s="272">
        <f ca="1">SUM(Kontrolle!G16:G17)</f>
        <v>0</v>
      </c>
      <c r="H11" s="272">
        <f ca="1">SUM(Kontrolle!H16:H17)</f>
        <v>0</v>
      </c>
      <c r="I11" s="272">
        <f ca="1">SUM(Kontrolle!I16:I17)</f>
        <v>0</v>
      </c>
      <c r="J11" s="272">
        <f ca="1">SUM(Kontrolle!J16:J17)</f>
        <v>0</v>
      </c>
      <c r="K11" s="286">
        <f ca="1">SUM(Kontrolle!K16:K17)</f>
        <v>0</v>
      </c>
      <c r="L11" s="290">
        <f ca="1">SUM(C11:K11)</f>
        <v>0</v>
      </c>
    </row>
    <row r="12" spans="1:12" ht="26.1" customHeight="1">
      <c r="A12" s="653" t="s">
        <v>207</v>
      </c>
      <c r="B12" s="654"/>
      <c r="C12" s="277">
        <f ca="1">SUM(Kontrolle!C18:C19)</f>
        <v>0</v>
      </c>
      <c r="D12" s="271">
        <f ca="1">SUM(Kontrolle!D18:D19)</f>
        <v>0</v>
      </c>
      <c r="E12" s="271">
        <f ca="1">SUM(Kontrolle!E18:E19)</f>
        <v>0</v>
      </c>
      <c r="F12" s="271">
        <f ca="1">SUM(Kontrolle!F18:F19)</f>
        <v>0</v>
      </c>
      <c r="G12" s="271">
        <f ca="1">SUM(Kontrolle!G18:G19)</f>
        <v>0</v>
      </c>
      <c r="H12" s="271">
        <f ca="1">SUM(Kontrolle!H18:H19)</f>
        <v>0</v>
      </c>
      <c r="I12" s="271">
        <f ca="1">SUM(Kontrolle!I18:I19)</f>
        <v>0</v>
      </c>
      <c r="J12" s="271">
        <f ca="1">SUM(Kontrolle!J18:J19)</f>
        <v>0</v>
      </c>
      <c r="K12" s="287">
        <f ca="1">SUM(Kontrolle!K18:K19)</f>
        <v>0</v>
      </c>
      <c r="L12" s="291">
        <f t="shared" ref="L12:L17" ca="1" si="1">SUM(C12:K12)</f>
        <v>0</v>
      </c>
    </row>
    <row r="13" spans="1:12" ht="26.1" customHeight="1" thickBot="1">
      <c r="A13" s="642" t="s">
        <v>208</v>
      </c>
      <c r="B13" s="643"/>
      <c r="C13" s="278">
        <f ca="1">SUM(Kontrolle!C20:C21)</f>
        <v>0</v>
      </c>
      <c r="D13" s="274">
        <f ca="1">SUM(Kontrolle!D20:D21)</f>
        <v>0</v>
      </c>
      <c r="E13" s="274">
        <f ca="1">SUM(Kontrolle!E20:E21)</f>
        <v>0</v>
      </c>
      <c r="F13" s="274">
        <f ca="1">SUM(Kontrolle!F20:F21)</f>
        <v>0</v>
      </c>
      <c r="G13" s="274">
        <f ca="1">SUM(Kontrolle!G20:G21)</f>
        <v>0</v>
      </c>
      <c r="H13" s="274">
        <f ca="1">SUM(Kontrolle!H20:H21)</f>
        <v>0</v>
      </c>
      <c r="I13" s="274">
        <f ca="1">SUM(Kontrolle!I20:I21)</f>
        <v>0</v>
      </c>
      <c r="J13" s="274">
        <f ca="1">SUM(Kontrolle!J20:J21)</f>
        <v>0</v>
      </c>
      <c r="K13" s="288">
        <f ca="1">SUM(Kontrolle!K20:K21)</f>
        <v>0</v>
      </c>
      <c r="L13" s="292">
        <f t="shared" ca="1" si="1"/>
        <v>0</v>
      </c>
    </row>
    <row r="14" spans="1:12" s="112" customFormat="1" ht="20.100000000000001" customHeight="1" thickBot="1">
      <c r="A14" s="637" t="s">
        <v>225</v>
      </c>
      <c r="B14" s="659"/>
      <c r="C14" s="213">
        <f ca="1">SUM(C11:C13)</f>
        <v>0</v>
      </c>
      <c r="D14" s="199">
        <f t="shared" ref="D14:J14" ca="1" si="2">SUM(D11:D13)</f>
        <v>0</v>
      </c>
      <c r="E14" s="199">
        <f t="shared" ca="1" si="2"/>
        <v>0</v>
      </c>
      <c r="F14" s="199">
        <f t="shared" ca="1" si="2"/>
        <v>0</v>
      </c>
      <c r="G14" s="199">
        <f t="shared" ca="1" si="2"/>
        <v>0</v>
      </c>
      <c r="H14" s="199">
        <f t="shared" ca="1" si="2"/>
        <v>0</v>
      </c>
      <c r="I14" s="199">
        <f t="shared" ca="1" si="2"/>
        <v>0</v>
      </c>
      <c r="J14" s="199">
        <f t="shared" ca="1" si="2"/>
        <v>0</v>
      </c>
      <c r="K14" s="204">
        <f ca="1">SUM(K11:K13)</f>
        <v>0</v>
      </c>
      <c r="L14" s="208">
        <f ca="1">SUM(L11:L13)</f>
        <v>0</v>
      </c>
    </row>
    <row r="15" spans="1:12" ht="26.1" customHeight="1" thickBot="1">
      <c r="A15" s="660"/>
      <c r="B15" s="660"/>
      <c r="C15" s="503" t="s">
        <v>227</v>
      </c>
      <c r="D15" s="503"/>
      <c r="E15" s="503"/>
      <c r="F15" s="503"/>
      <c r="G15" s="503"/>
      <c r="H15" s="503"/>
      <c r="I15" s="503"/>
      <c r="J15" s="503"/>
      <c r="K15" s="503"/>
      <c r="L15" s="279"/>
    </row>
    <row r="16" spans="1:12" ht="26.1" customHeight="1">
      <c r="A16" s="644" t="s">
        <v>209</v>
      </c>
      <c r="B16" s="645"/>
      <c r="C16" s="280">
        <f ca="1">Kontrolle!C29</f>
        <v>0</v>
      </c>
      <c r="D16" s="280">
        <f ca="1">Kontrolle!D29</f>
        <v>0</v>
      </c>
      <c r="E16" s="280">
        <f ca="1">Kontrolle!E29</f>
        <v>0</v>
      </c>
      <c r="F16" s="280">
        <f ca="1">Kontrolle!F29</f>
        <v>0</v>
      </c>
      <c r="G16" s="280">
        <f ca="1">Kontrolle!G29</f>
        <v>0</v>
      </c>
      <c r="H16" s="280">
        <f ca="1">Kontrolle!H29</f>
        <v>0</v>
      </c>
      <c r="I16" s="280">
        <f ca="1">Kontrolle!I29</f>
        <v>0</v>
      </c>
      <c r="J16" s="280">
        <f ca="1">Kontrolle!J29</f>
        <v>0</v>
      </c>
      <c r="K16" s="282">
        <f ca="1">Kontrolle!K29</f>
        <v>0</v>
      </c>
      <c r="L16" s="284">
        <f t="shared" ca="1" si="1"/>
        <v>0</v>
      </c>
    </row>
    <row r="17" spans="1:21" ht="26.1" customHeight="1" thickBot="1">
      <c r="A17" s="648" t="s">
        <v>210</v>
      </c>
      <c r="B17" s="649"/>
      <c r="C17" s="281">
        <f ca="1">Kontrolle!C30</f>
        <v>0</v>
      </c>
      <c r="D17" s="281">
        <f ca="1">Kontrolle!D30</f>
        <v>0</v>
      </c>
      <c r="E17" s="281">
        <f ca="1">Kontrolle!E30</f>
        <v>0</v>
      </c>
      <c r="F17" s="281">
        <f ca="1">Kontrolle!F30</f>
        <v>0</v>
      </c>
      <c r="G17" s="281">
        <f ca="1">Kontrolle!G30</f>
        <v>0</v>
      </c>
      <c r="H17" s="281">
        <f ca="1">Kontrolle!H30</f>
        <v>0</v>
      </c>
      <c r="I17" s="281">
        <f ca="1">Kontrolle!I30</f>
        <v>0</v>
      </c>
      <c r="J17" s="281">
        <f ca="1">Kontrolle!J30</f>
        <v>0</v>
      </c>
      <c r="K17" s="283">
        <f ca="1">Kontrolle!K30</f>
        <v>0</v>
      </c>
      <c r="L17" s="285">
        <f t="shared" ca="1" si="1"/>
        <v>0</v>
      </c>
    </row>
    <row r="18" spans="1:21" s="112" customFormat="1" ht="20.100000000000001" customHeight="1" thickBot="1">
      <c r="A18" s="637" t="s">
        <v>226</v>
      </c>
      <c r="B18" s="638"/>
      <c r="C18" s="199">
        <f ca="1">SUM(C16:C17)</f>
        <v>0</v>
      </c>
      <c r="D18" s="199">
        <f t="shared" ref="D18:L18" ca="1" si="3">SUM(D16:D17)</f>
        <v>0</v>
      </c>
      <c r="E18" s="199">
        <f t="shared" ca="1" si="3"/>
        <v>0</v>
      </c>
      <c r="F18" s="199">
        <f t="shared" ca="1" si="3"/>
        <v>0</v>
      </c>
      <c r="G18" s="199">
        <f t="shared" ca="1" si="3"/>
        <v>0</v>
      </c>
      <c r="H18" s="199">
        <f t="shared" ca="1" si="3"/>
        <v>0</v>
      </c>
      <c r="I18" s="199">
        <f t="shared" ca="1" si="3"/>
        <v>0</v>
      </c>
      <c r="J18" s="199">
        <f t="shared" ca="1" si="3"/>
        <v>0</v>
      </c>
      <c r="K18" s="204">
        <f t="shared" ca="1" si="3"/>
        <v>0</v>
      </c>
      <c r="L18" s="208">
        <f t="shared" ca="1" si="3"/>
        <v>0</v>
      </c>
    </row>
    <row r="19" spans="1:21">
      <c r="A19" s="113"/>
      <c r="B19" s="113"/>
      <c r="C19" s="113"/>
      <c r="D19" s="113"/>
      <c r="E19" s="113"/>
    </row>
    <row r="22" spans="1:21">
      <c r="C22" s="658">
        <f ca="1">TODAY()</f>
        <v>43171</v>
      </c>
      <c r="D22" s="658"/>
      <c r="L22" s="114"/>
      <c r="M22" s="114"/>
      <c r="N22" s="114"/>
      <c r="O22" s="114"/>
      <c r="P22" s="114"/>
      <c r="Q22" s="114"/>
      <c r="R22" s="114"/>
      <c r="S22" s="114"/>
      <c r="T22" s="114"/>
      <c r="U22" s="114"/>
    </row>
    <row r="23" spans="1:21">
      <c r="C23" s="636" t="s">
        <v>211</v>
      </c>
      <c r="D23" s="636"/>
      <c r="E23" s="636"/>
      <c r="F23" s="636"/>
      <c r="G23" s="636"/>
      <c r="H23" s="636"/>
      <c r="I23" s="636"/>
      <c r="J23" s="636"/>
      <c r="K23" s="636"/>
    </row>
  </sheetData>
  <sheetProtection password="E8E9" sheet="1" objects="1" scenarios="1" selectLockedCells="1" selectUnlockedCells="1"/>
  <mergeCells count="20">
    <mergeCell ref="C9:K9"/>
    <mergeCell ref="A14:B14"/>
    <mergeCell ref="C15:K15"/>
    <mergeCell ref="A15:B15"/>
    <mergeCell ref="A1:L1"/>
    <mergeCell ref="A2:L2"/>
    <mergeCell ref="C23:K23"/>
    <mergeCell ref="A18:B18"/>
    <mergeCell ref="F6:L6"/>
    <mergeCell ref="A13:B13"/>
    <mergeCell ref="A16:B16"/>
    <mergeCell ref="A10:B10"/>
    <mergeCell ref="A17:B17"/>
    <mergeCell ref="A8:C8"/>
    <mergeCell ref="A11:B11"/>
    <mergeCell ref="A12:B12"/>
    <mergeCell ref="F7:L7"/>
    <mergeCell ref="A6:D6"/>
    <mergeCell ref="A7:D7"/>
    <mergeCell ref="C22:D22"/>
  </mergeCells>
  <phoneticPr fontId="8" type="noConversion"/>
  <printOptions horizontalCentered="1"/>
  <pageMargins left="0.59055118110236227" right="0.55118110236220474" top="0.78740157480314965" bottom="0.39370078740157483" header="0.30000000000000004" footer="0.19685039370078741"/>
  <pageSetup paperSize="9" orientation="landscape" r:id="rId1"/>
  <ignoredErrors>
    <ignoredError sqref="L14" formula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15</vt:i4>
      </vt:variant>
      <vt:variant>
        <vt:lpstr>Benannte Bereiche</vt:lpstr>
      </vt:variant>
      <vt:variant>
        <vt:i4>86</vt:i4>
      </vt:variant>
    </vt:vector>
  </HeadingPairs>
  <TitlesOfParts>
    <vt:vector size="101" baseType="lpstr">
      <vt:lpstr>Data Entry Form</vt:lpstr>
      <vt:lpstr>Check your reservation</vt:lpstr>
      <vt:lpstr>Coaches and Officials</vt:lpstr>
      <vt:lpstr>Women</vt:lpstr>
      <vt:lpstr>Men</vt:lpstr>
      <vt:lpstr>Visa Application</vt:lpstr>
      <vt:lpstr>Kontrolle</vt:lpstr>
      <vt:lpstr>Check In Liste</vt:lpstr>
      <vt:lpstr>Voucher</vt:lpstr>
      <vt:lpstr>Rechnung A</vt:lpstr>
      <vt:lpstr>Rechnung B</vt:lpstr>
      <vt:lpstr>Rechnung C</vt:lpstr>
      <vt:lpstr>Federation</vt:lpstr>
      <vt:lpstr>Rechnung Entry Fee</vt:lpstr>
      <vt:lpstr>Parameters</vt:lpstr>
      <vt:lpstr>AccFeeTotal</vt:lpstr>
      <vt:lpstr>AccreditationFee</vt:lpstr>
      <vt:lpstr>AssignedCategory</vt:lpstr>
      <vt:lpstr>Comment</vt:lpstr>
      <vt:lpstr>ContactPerson</vt:lpstr>
      <vt:lpstr>'Check In Liste'!Druckbereich</vt:lpstr>
      <vt:lpstr>'Check your reservation'!Druckbereich</vt:lpstr>
      <vt:lpstr>'Coaches and Officials'!Druckbereich</vt:lpstr>
      <vt:lpstr>'Data Entry Form'!Druckbereich</vt:lpstr>
      <vt:lpstr>Men!Druckbereich</vt:lpstr>
      <vt:lpstr>'Rechnung A'!Druckbereich</vt:lpstr>
      <vt:lpstr>'Rechnung B'!Druckbereich</vt:lpstr>
      <vt:lpstr>'Rechnung C'!Druckbereich</vt:lpstr>
      <vt:lpstr>'Rechnung Entry Fee'!Druckbereich</vt:lpstr>
      <vt:lpstr>'Visa Application'!Druckbereich</vt:lpstr>
      <vt:lpstr>Voucher!Druckbereich</vt:lpstr>
      <vt:lpstr>Women!Druckbereich</vt:lpstr>
      <vt:lpstr>'Check In Liste'!Drucktitel</vt:lpstr>
      <vt:lpstr>'Visa Application'!Drucktitel</vt:lpstr>
      <vt:lpstr>Email</vt:lpstr>
      <vt:lpstr>EntryFee</vt:lpstr>
      <vt:lpstr>Federation</vt:lpstr>
      <vt:lpstr>Header1</vt:lpstr>
      <vt:lpstr>Header2</vt:lpstr>
      <vt:lpstr>InvoiceSubtitle</vt:lpstr>
      <vt:lpstr>Kurzbezeichnung</vt:lpstr>
      <vt:lpstr>Men!lstArrivalDate</vt:lpstr>
      <vt:lpstr>'Rechnung B'!lstArrivalDate</vt:lpstr>
      <vt:lpstr>'Rechnung C'!lstArrivalDate</vt:lpstr>
      <vt:lpstr>'Rechnung Entry Fee'!lstArrivalDate</vt:lpstr>
      <vt:lpstr>lstArrivalDate</vt:lpstr>
      <vt:lpstr>Men!lstDepartureDate</vt:lpstr>
      <vt:lpstr>'Rechnung B'!lstDepartureDate</vt:lpstr>
      <vt:lpstr>'Rechnung C'!lstDepartureDate</vt:lpstr>
      <vt:lpstr>'Rechnung Entry Fee'!lstDepartureDate</vt:lpstr>
      <vt:lpstr>lstDepartureDate</vt:lpstr>
      <vt:lpstr>Men!lstHotelCategory</vt:lpstr>
      <vt:lpstr>'Rechnung B'!lstHotelCategory</vt:lpstr>
      <vt:lpstr>'Rechnung C'!lstHotelCategory</vt:lpstr>
      <vt:lpstr>'Rechnung Entry Fee'!lstHotelCategory</vt:lpstr>
      <vt:lpstr>lstHotelCategory</vt:lpstr>
      <vt:lpstr>Men!lstLocomotionType</vt:lpstr>
      <vt:lpstr>'Rechnung B'!lstLocomotionType</vt:lpstr>
      <vt:lpstr>'Rechnung C'!lstLocomotionType</vt:lpstr>
      <vt:lpstr>'Rechnung Entry Fee'!lstLocomotionType</vt:lpstr>
      <vt:lpstr>lstLocomotionType</vt:lpstr>
      <vt:lpstr>Men!lstRoomAndLodging</vt:lpstr>
      <vt:lpstr>'Rechnung B'!lstRoomAndLodging</vt:lpstr>
      <vt:lpstr>'Rechnung C'!lstRoomAndLodging</vt:lpstr>
      <vt:lpstr>'Rechnung Entry Fee'!lstRoomAndLodging</vt:lpstr>
      <vt:lpstr>lstRoomAndLodging</vt:lpstr>
      <vt:lpstr>lstRoomLodgingCompDays</vt:lpstr>
      <vt:lpstr>Men!lstTransferLocation</vt:lpstr>
      <vt:lpstr>'Rechnung B'!lstTransferLocation</vt:lpstr>
      <vt:lpstr>'Rechnung C'!lstTransferLocation</vt:lpstr>
      <vt:lpstr>'Rechnung Entry Fee'!lstTransferLocation</vt:lpstr>
      <vt:lpstr>lstTransferLocation</vt:lpstr>
      <vt:lpstr>Men!lstTravelLocation</vt:lpstr>
      <vt:lpstr>'Rechnung B'!lstTravelLocation</vt:lpstr>
      <vt:lpstr>'Rechnung C'!lstTravelLocation</vt:lpstr>
      <vt:lpstr>'Rechnung Entry Fee'!lstTravelLocation</vt:lpstr>
      <vt:lpstr>lstTravelLocation</vt:lpstr>
      <vt:lpstr>Men!lstWeightOrFunctionCategory</vt:lpstr>
      <vt:lpstr>'Rechnung B'!lstWeightOrFunctionCategory</vt:lpstr>
      <vt:lpstr>'Rechnung C'!lstWeightOrFunctionCategory</vt:lpstr>
      <vt:lpstr>'Rechnung Entry Fee'!lstWeightOrFunctionCategory</vt:lpstr>
      <vt:lpstr>lstWeightOrFunctionCategory</vt:lpstr>
      <vt:lpstr>Men!lstYesNo</vt:lpstr>
      <vt:lpstr>'Rechnung B'!lstYesNo</vt:lpstr>
      <vt:lpstr>'Rechnung C'!lstYesNo</vt:lpstr>
      <vt:lpstr>'Rechnung Entry Fee'!lstYesNo</vt:lpstr>
      <vt:lpstr>lstYesNo</vt:lpstr>
      <vt:lpstr>PhoneNumber</vt:lpstr>
      <vt:lpstr>Position</vt:lpstr>
      <vt:lpstr>SelectedCategory</vt:lpstr>
      <vt:lpstr>StartDate</vt:lpstr>
      <vt:lpstr>'Rechnung C'!tblSortedArrivalData</vt:lpstr>
      <vt:lpstr>'Rechnung Entry Fee'!tblSortedArrivalData</vt:lpstr>
      <vt:lpstr>tblSortedArrivalData</vt:lpstr>
      <vt:lpstr>'Rechnung C'!tblSortedDepartureData</vt:lpstr>
      <vt:lpstr>'Rechnung Entry Fee'!tblSortedDepartureData</vt:lpstr>
      <vt:lpstr>tblSortedDepartureData</vt:lpstr>
      <vt:lpstr>'Rechnung C'!tblSortedNameData</vt:lpstr>
      <vt:lpstr>'Rechnung Entry Fee'!tblSortedNameData</vt:lpstr>
      <vt:lpstr>tblSortedNameData</vt:lpstr>
      <vt:lpstr>Unterkunft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Office-Anwender</dc:creator>
  <cp:lastModifiedBy>Hoesl</cp:lastModifiedBy>
  <cp:lastPrinted>2018-02-25T19:19:33Z</cp:lastPrinted>
  <dcterms:created xsi:type="dcterms:W3CDTF">2017-03-02T06:37:19Z</dcterms:created>
  <dcterms:modified xsi:type="dcterms:W3CDTF">2018-03-12T09:29:49Z</dcterms:modified>
</cp:coreProperties>
</file>