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updateLinks="never"/>
  <mc:AlternateContent xmlns:mc="http://schemas.openxmlformats.org/markup-compatibility/2006">
    <mc:Choice Requires="x15">
      <x15ac:absPath xmlns:x15ac="http://schemas.microsoft.com/office/spreadsheetml/2010/11/ac" url="/Users/tomschmit/Interreg Judo Coop. Dropbox/Tom SCHMIT/IJC intern/INTERREG JUDO COMPETITION/U21 EUROPEAN JUDO CHAMPIONSHIPS 2021/Accommodation/Registration Forms/"/>
    </mc:Choice>
  </mc:AlternateContent>
  <xr:revisionPtr revIDLastSave="0" documentId="8_{0A6B4596-F8AE-504F-904F-31C691DDCED4}" xr6:coauthVersionLast="47" xr6:coauthVersionMax="47" xr10:uidLastSave="{00000000-0000-0000-0000-000000000000}"/>
  <workbookProtection workbookAlgorithmName="SHA-512" workbookHashValue="kAKEgUI60HQLtCdRdjjfd4VfXswG7b0TykbVwQhaug461EtdaPzu4xyv5ny4Kyhx5BSKILSkl5uW4JPwFhbRzQ==" workbookSaltValue="4lQSCXmAltNE3wgxWrDklg==" workbookSpinCount="100000" lockStructure="1"/>
  <bookViews>
    <workbookView xWindow="0" yWindow="500" windowWidth="28800" windowHeight="15880" xr2:uid="{00000000-000D-0000-FFFF-FFFF00000000}"/>
  </bookViews>
  <sheets>
    <sheet name="Data entry form" sheetId="3" r:id="rId1"/>
    <sheet name="Check your data" sheetId="4" r:id="rId2"/>
    <sheet name="Proforma Invoice" sheetId="5" r:id="rId3"/>
    <sheet name="Invoice" sheetId="7" state="hidden" r:id="rId4"/>
    <sheet name="Parameters" sheetId="2" state="hidden" r:id="rId5"/>
  </sheets>
  <externalReferences>
    <externalReference r:id="rId6"/>
    <externalReference r:id="rId7"/>
  </externalReferences>
  <definedNames>
    <definedName name="_xlnm._FilterDatabase" localSheetId="0" hidden="1">'Data entry form'!$B$18:$AE$49</definedName>
    <definedName name="AccreditationFee" localSheetId="4">Parameters!$AS$3</definedName>
    <definedName name="AccreditationFee">[1]Parameters!$AY$3</definedName>
    <definedName name="AJU">Parameters!$AQ$3</definedName>
    <definedName name="Alvisse">Parameters!$W$5:$W$6</definedName>
    <definedName name="AssignedCategory">[1]Kontrolle!$C$5</definedName>
    <definedName name="Comment">'[1]Data Entry Form'!$O$4</definedName>
    <definedName name="ContactPerson">'[1]Data Entry Form'!$G$7</definedName>
    <definedName name="ContFed">'[1]Data Entry Form'!$G$6</definedName>
    <definedName name="ContFede">'Data entry form'!#REF!</definedName>
    <definedName name="Coque">Parameters!$W$27:$W$28</definedName>
    <definedName name="dbCheckInListe">INDIRECT(Parameters!$BC$3)</definedName>
    <definedName name="DJBEntryFeeGER">[1]Parameters!$AY$9</definedName>
    <definedName name="DJBEntryFeeNonGER">[1]Parameters!$AY$12</definedName>
    <definedName name="EJU" localSheetId="4">Parameters!$AQ$5</definedName>
    <definedName name="EJU">[1]Parameters!$AW$5</definedName>
    <definedName name="EJUEntryFee" localSheetId="4">Parameters!$AS$6</definedName>
    <definedName name="EJUEntryFee">[1]Parameters!$AY$6</definedName>
    <definedName name="Email">'[1]Data Entry Form'!$J$7</definedName>
    <definedName name="Error1">Parameters!$Q$20</definedName>
    <definedName name="Federation">'Data entry form'!$C$4</definedName>
    <definedName name="FederationCountry">'[1]Data Entry Form'!$G$5</definedName>
    <definedName name="Header1">[1]Parameters!$BB$2</definedName>
    <definedName name="Header2">[1]Parameters!$BB$3</definedName>
    <definedName name="Hermann_Neuberger_Sportschule">[1]!tblRoomAndLodgings[Code]</definedName>
    <definedName name="Hilton">Parameters!$W$3:$W$4</definedName>
    <definedName name="Hostel">Parameters!$W$29:$W$31</definedName>
    <definedName name="HotelEJO">'Data entry form'!$D$12</definedName>
    <definedName name="HotelTC">'Data entry form'!$D$13</definedName>
    <definedName name="Ibis">Parameters!$W$7:$W$9</definedName>
    <definedName name="InvoiceSubtitle">[1]Parameters!$BC$2</definedName>
    <definedName name="JUA">Parameters!$AQ$4</definedName>
    <definedName name="lstArrivalDate" localSheetId="3">tblArrivalDates[ArrivalDate]</definedName>
    <definedName name="lstArrivalDate">tblArrivalDates[ArrivalDate]</definedName>
    <definedName name="lstContinent" localSheetId="3">tblContinent[]</definedName>
    <definedName name="lstContinent">tblContinent[]</definedName>
    <definedName name="lstDepartureDate" localSheetId="3">tblDepartureDates[DepartureDate]</definedName>
    <definedName name="lstDepartureDate">tblDepartureDates[DepartureDate]</definedName>
    <definedName name="lstHotelCategory">[1]!tblHotelCategories[Category]</definedName>
    <definedName name="lstHotels" localSheetId="3">tblHotels[]</definedName>
    <definedName name="lstHotels">tblHotels[]</definedName>
    <definedName name="lstHotelsEJO" localSheetId="3">tblHotelsEJO[]</definedName>
    <definedName name="lstHotelsEJO">tblHotelsEJO[]</definedName>
    <definedName name="lstHotelsTC" localSheetId="3">tblHotelsTC[]</definedName>
    <definedName name="lstHotelsTC">tblHotelsTC[]</definedName>
    <definedName name="lstLocomotionType" localSheetId="3">tblLocomotionTypes[LocomotionType]</definedName>
    <definedName name="lstLocomotionType">tblLocomotionTypes[LocomotionType]</definedName>
    <definedName name="lstMealTypesEJO" localSheetId="3">tblMealTypesEJO[]</definedName>
    <definedName name="lstMealTypesEJO">tblMealTypesEJO[]</definedName>
    <definedName name="lstMealTypesTC" localSheetId="3">tblMealTypesTC[]</definedName>
    <definedName name="lstMealTypesTC">tblMealTypesTC[]</definedName>
    <definedName name="lstRoomAndLodging" localSheetId="3">tblRoomAndLodgings[Code]</definedName>
    <definedName name="lstRoomAndLodging">tblRoomAndLodgings[Code]</definedName>
    <definedName name="lstRoomLodgingCompDays">[1]Parameters!#REF!</definedName>
    <definedName name="lstRoomPricesEJO" localSheetId="3">tblRoomPrices[Code]</definedName>
    <definedName name="lstRoomPricesEJO">tblRoomPrices[Code]</definedName>
    <definedName name="lstRoomPricesSunda" localSheetId="3">tblRoomPricesSunday[Code]</definedName>
    <definedName name="lstRoomPricesSunda">tblRoomPricesSunday[Code]</definedName>
    <definedName name="lstRoomPricesTC" localSheetId="3">tblRoomPricesTC[Code]</definedName>
    <definedName name="lstRoomPricesTC">tblRoomPricesTC[Code]</definedName>
    <definedName name="lstRoomTypes" localSheetId="3">tblRoomTypes[]</definedName>
    <definedName name="lstRoomTypes">tblRoomTypes[]</definedName>
    <definedName name="lstTestDate" localSheetId="3">tblTestDate[TestDate]</definedName>
    <definedName name="lstTestDate">tblTestDate[TestDate]</definedName>
    <definedName name="lstTransferLocation">lstYesNo</definedName>
    <definedName name="lstTravelLocation" localSheetId="3">tblTravelLocations[TravelLocation]</definedName>
    <definedName name="lstTravelLocation">tblTravelLocations[TravelLocation]</definedName>
    <definedName name="lstWeightOrFunctionCategory" localSheetId="3">tblWeightOrFunction[Category]</definedName>
    <definedName name="lstWeightOrFunctionCategory">tblWeightOrFunction[Category]</definedName>
    <definedName name="lstYesNo">tblYesNo[YesNo]</definedName>
    <definedName name="OJU">Parameters!$AQ$6</definedName>
    <definedName name="Other">Parameters!$AQ$8</definedName>
    <definedName name="PhoneNumber">'[1]Data Entry Form'!$G$8</definedName>
    <definedName name="PJC">Parameters!$AQ$7</definedName>
    <definedName name="Position">'[1]Data Entry Form'!$J$6</definedName>
    <definedName name="SelectedCategory">'Data entry form'!$G$16</definedName>
    <definedName name="tblContFed">[1]!Tabelle32[ContFed]</definedName>
    <definedName name="tblData">'Data entry form'!$B$19:$AL$49</definedName>
    <definedName name="tblSortedArrivalData">[1]!tblData[[Sorted Arr Id]:[Dep Shuttle Rang]]</definedName>
    <definedName name="tblSortedDepartureData">[1]!tblData[[Sorted Dep Id]:[Dep Shuttle Rang]]</definedName>
    <definedName name="tblSortedNameData">[1]!tblData[[Sorted Name Id]:[Dep Shuttle Rang]]</definedName>
    <definedName name="TCAccredFee">Parameters!$AS$9</definedName>
    <definedName name="TCAccreditationFee">Parameters!$AS$16</definedName>
    <definedName name="TCFeeEJU" localSheetId="4">Parameters!$AT$3</definedName>
    <definedName name="TCFeeEJU">[1]Parameters!$AZ$3</definedName>
    <definedName name="TCFeeNonEJU" localSheetId="4">Parameters!$AU$3</definedName>
    <definedName name="TCFeeNonEJU">[1]Parameters!$BA$3</definedName>
    <definedName name="Unterkunft">[1]Kontrolle!$C$6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E31" i="4"/>
  <c r="F31" i="4"/>
  <c r="G31" i="4"/>
  <c r="H31" i="4"/>
  <c r="I31" i="4"/>
  <c r="J31" i="4"/>
  <c r="C31" i="4"/>
  <c r="J30" i="4"/>
  <c r="I30" i="4"/>
  <c r="H30" i="4"/>
  <c r="G30" i="4"/>
  <c r="F30" i="4"/>
  <c r="E30" i="4"/>
  <c r="D30" i="4"/>
  <c r="C30" i="4"/>
  <c r="AJ20" i="3"/>
  <c r="K31" i="4" l="1"/>
  <c r="G31" i="7"/>
  <c r="F30" i="7"/>
  <c r="G30" i="7" s="1"/>
  <c r="F27" i="7"/>
  <c r="D27" i="7"/>
  <c r="B27" i="7"/>
  <c r="F25" i="7"/>
  <c r="D25" i="7"/>
  <c r="F23" i="7"/>
  <c r="D23" i="7"/>
  <c r="G18" i="7"/>
  <c r="G26" i="7" s="1"/>
  <c r="A11" i="7"/>
  <c r="G18" i="5"/>
  <c r="H28" i="5" s="1"/>
  <c r="F27" i="5"/>
  <c r="D27" i="5"/>
  <c r="B26" i="4"/>
  <c r="B27" i="5"/>
  <c r="F25" i="5"/>
  <c r="F30" i="5"/>
  <c r="G30" i="5" s="1"/>
  <c r="F23" i="5"/>
  <c r="D23" i="5"/>
  <c r="D25" i="5"/>
  <c r="J14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D11" i="4"/>
  <c r="E11" i="4"/>
  <c r="F11" i="4"/>
  <c r="G11" i="4"/>
  <c r="H11" i="4"/>
  <c r="I11" i="4"/>
  <c r="J11" i="4"/>
  <c r="D12" i="4"/>
  <c r="E12" i="4"/>
  <c r="F12" i="4"/>
  <c r="G12" i="4"/>
  <c r="H12" i="4"/>
  <c r="I12" i="4"/>
  <c r="J12" i="4"/>
  <c r="C12" i="4"/>
  <c r="C11" i="4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20" i="3"/>
  <c r="AI46" i="3"/>
  <c r="AI47" i="3"/>
  <c r="AI48" i="3"/>
  <c r="AI49" i="3"/>
  <c r="AM20" i="3"/>
  <c r="K15" i="4" l="1"/>
  <c r="K17" i="4"/>
  <c r="K18" i="4"/>
  <c r="K11" i="4"/>
  <c r="K14" i="4"/>
  <c r="K12" i="4"/>
  <c r="J19" i="4"/>
  <c r="I19" i="4"/>
  <c r="E19" i="4"/>
  <c r="H19" i="4"/>
  <c r="F16" i="4"/>
  <c r="I13" i="4"/>
  <c r="I16" i="4"/>
  <c r="F19" i="4"/>
  <c r="D19" i="4"/>
  <c r="J16" i="4"/>
  <c r="F13" i="4"/>
  <c r="J13" i="4"/>
  <c r="H24" i="7"/>
  <c r="H26" i="7"/>
  <c r="G28" i="7"/>
  <c r="H28" i="7"/>
  <c r="G24" i="7"/>
  <c r="G28" i="5"/>
  <c r="E13" i="4"/>
  <c r="G19" i="4"/>
  <c r="E16" i="4"/>
  <c r="D16" i="4"/>
  <c r="G13" i="4"/>
  <c r="H13" i="4"/>
  <c r="G16" i="4"/>
  <c r="H16" i="4"/>
  <c r="D13" i="4"/>
  <c r="H24" i="5"/>
  <c r="G26" i="5"/>
  <c r="G24" i="5"/>
  <c r="H26" i="5"/>
  <c r="C13" i="4"/>
  <c r="AD19" i="3"/>
  <c r="AC19" i="3"/>
  <c r="H10" i="4" s="1"/>
  <c r="AB19" i="3"/>
  <c r="G10" i="4" s="1"/>
  <c r="AA19" i="3"/>
  <c r="F10" i="4" s="1"/>
  <c r="Z19" i="3"/>
  <c r="E10" i="4" s="1"/>
  <c r="Y19" i="3"/>
  <c r="D10" i="4" s="1"/>
  <c r="X19" i="3"/>
  <c r="C10" i="4" s="1"/>
  <c r="J20" i="4" l="1"/>
  <c r="K13" i="4"/>
  <c r="I20" i="4"/>
  <c r="E20" i="4"/>
  <c r="D20" i="4"/>
  <c r="G20" i="4"/>
  <c r="F20" i="4"/>
  <c r="AE19" i="3"/>
  <c r="J10" i="4" s="1"/>
  <c r="I10" i="4"/>
  <c r="H20" i="4"/>
  <c r="Y7" i="2"/>
  <c r="X9" i="2"/>
  <c r="X8" i="2"/>
  <c r="X5" i="2"/>
  <c r="X6" i="2" s="1"/>
  <c r="X7" i="2" s="1"/>
  <c r="X3" i="2"/>
  <c r="W3" i="2" s="1"/>
  <c r="AM21" i="3"/>
  <c r="AM22" i="3"/>
  <c r="AM23" i="3"/>
  <c r="A11" i="5" l="1"/>
  <c r="G31" i="5" l="1"/>
  <c r="A3" i="2"/>
  <c r="A4" i="2"/>
  <c r="C19" i="4" l="1"/>
  <c r="K19" i="4" s="1"/>
  <c r="C16" i="4"/>
  <c r="K16" i="4" s="1"/>
  <c r="K20" i="4" l="1"/>
  <c r="C20" i="4"/>
  <c r="B24" i="4"/>
  <c r="AD49" i="2" l="1"/>
  <c r="AD48" i="2"/>
  <c r="AD47" i="2"/>
  <c r="AD39" i="2"/>
  <c r="AD37" i="2"/>
  <c r="AD36" i="2"/>
  <c r="AD35" i="2"/>
  <c r="AD14" i="2"/>
  <c r="AD13" i="2"/>
  <c r="AD12" i="2"/>
  <c r="AC39" i="2"/>
  <c r="AB39" i="2" s="1"/>
  <c r="AC37" i="2"/>
  <c r="AC36" i="2"/>
  <c r="AC35" i="2"/>
  <c r="AB35" i="2" s="1"/>
  <c r="AN3" i="2"/>
  <c r="AN4" i="2"/>
  <c r="AN5" i="2"/>
  <c r="AN6" i="2"/>
  <c r="AC13" i="2"/>
  <c r="AC14" i="2"/>
  <c r="AC12" i="2"/>
  <c r="AE11" i="2"/>
  <c r="AE8" i="2"/>
  <c r="AE5" i="2"/>
  <c r="AD34" i="2"/>
  <c r="AC34" i="2"/>
  <c r="AE32" i="2"/>
  <c r="AD32" i="2"/>
  <c r="AD31" i="2"/>
  <c r="AD30" i="2"/>
  <c r="AC30" i="2"/>
  <c r="AC31" i="2" s="1"/>
  <c r="AB31" i="2" s="1"/>
  <c r="AE29" i="2"/>
  <c r="AD29" i="2"/>
  <c r="AD28" i="2"/>
  <c r="AD27" i="2"/>
  <c r="AC27" i="2"/>
  <c r="AB27" i="2" s="1"/>
  <c r="AE26" i="2"/>
  <c r="AD26" i="2"/>
  <c r="AD25" i="2"/>
  <c r="AD24" i="2"/>
  <c r="AC24" i="2"/>
  <c r="AC25" i="2" s="1"/>
  <c r="AC26" i="2" s="1"/>
  <c r="AD5" i="2"/>
  <c r="AD11" i="2"/>
  <c r="AD8" i="2"/>
  <c r="AD10" i="2"/>
  <c r="AD9" i="2"/>
  <c r="AD7" i="2"/>
  <c r="AD6" i="2"/>
  <c r="AD4" i="2"/>
  <c r="AD3" i="2"/>
  <c r="AB37" i="2" l="1"/>
  <c r="AB24" i="2"/>
  <c r="AB13" i="2"/>
  <c r="AB36" i="2"/>
  <c r="AB26" i="2"/>
  <c r="AB12" i="2"/>
  <c r="AB30" i="2"/>
  <c r="AB14" i="2"/>
  <c r="AB34" i="2"/>
  <c r="AC32" i="2"/>
  <c r="AB32" i="2" s="1"/>
  <c r="AB25" i="2"/>
  <c r="AC28" i="2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X29" i="2"/>
  <c r="X30" i="2" s="1"/>
  <c r="U29" i="2"/>
  <c r="AC46" i="2" s="1"/>
  <c r="AC49" i="2" s="1"/>
  <c r="AB49" i="2" s="1"/>
  <c r="U28" i="2"/>
  <c r="AC45" i="2" s="1"/>
  <c r="U27" i="2"/>
  <c r="AC44" i="2" s="1"/>
  <c r="U19" i="2"/>
  <c r="U20" i="2"/>
  <c r="Y48" i="2"/>
  <c r="Y47" i="2"/>
  <c r="X47" i="2"/>
  <c r="X48" i="2" s="1"/>
  <c r="X45" i="2"/>
  <c r="X46" i="2" s="1"/>
  <c r="W46" i="2" s="1"/>
  <c r="X42" i="2"/>
  <c r="X43" i="2" s="1"/>
  <c r="W43" i="2" s="1"/>
  <c r="X40" i="2"/>
  <c r="W40" i="2" s="1"/>
  <c r="X37" i="2"/>
  <c r="W37" i="2" s="1"/>
  <c r="X27" i="2"/>
  <c r="W27" i="2" s="1"/>
  <c r="X24" i="2"/>
  <c r="W24" i="2" s="1"/>
  <c r="W47" i="2" l="1"/>
  <c r="W48" i="2"/>
  <c r="X25" i="2"/>
  <c r="W25" i="2" s="1"/>
  <c r="AC47" i="2"/>
  <c r="AB47" i="2" s="1"/>
  <c r="AB44" i="2"/>
  <c r="W45" i="2"/>
  <c r="AB45" i="2"/>
  <c r="AC48" i="2"/>
  <c r="AB48" i="2" s="1"/>
  <c r="AB46" i="2"/>
  <c r="AC29" i="2"/>
  <c r="AB29" i="2" s="1"/>
  <c r="AB28" i="2"/>
  <c r="W42" i="2"/>
  <c r="X28" i="2"/>
  <c r="W28" i="2" s="1"/>
  <c r="W29" i="2"/>
  <c r="X44" i="2"/>
  <c r="W44" i="2" s="1"/>
  <c r="X41" i="2"/>
  <c r="W41" i="2" s="1"/>
  <c r="X38" i="2"/>
  <c r="W38" i="2" s="1"/>
  <c r="X31" i="2"/>
  <c r="W30" i="2"/>
  <c r="X26" i="2" l="1"/>
  <c r="W26" i="2" s="1"/>
  <c r="X39" i="2"/>
  <c r="W39" i="2" s="1"/>
  <c r="W31" i="2"/>
  <c r="AM38" i="2" l="1"/>
  <c r="AM37" i="2"/>
  <c r="AM36" i="2"/>
  <c r="AM35" i="2"/>
  <c r="AL36" i="2"/>
  <c r="AL37" i="2"/>
  <c r="AL38" i="2"/>
  <c r="AL39" i="2"/>
  <c r="AL40" i="2"/>
  <c r="AL35" i="2"/>
  <c r="AM34" i="2"/>
  <c r="AM33" i="2"/>
  <c r="AL32" i="2"/>
  <c r="AL33" i="2"/>
  <c r="AL34" i="2"/>
  <c r="AM32" i="2"/>
  <c r="AM31" i="2"/>
  <c r="AL31" i="2"/>
  <c r="AL11" i="2"/>
  <c r="AL19" i="2"/>
  <c r="AL20" i="2" s="1"/>
  <c r="AL21" i="2" s="1"/>
  <c r="AL3" i="2"/>
  <c r="AC9" i="2"/>
  <c r="AB9" i="2" s="1"/>
  <c r="AC6" i="2"/>
  <c r="AB6" i="2" s="1"/>
  <c r="AC3" i="2"/>
  <c r="AB3" i="2" s="1"/>
  <c r="X4" i="2"/>
  <c r="W4" i="2" s="1"/>
  <c r="AN8" i="2"/>
  <c r="AN12" i="2" s="1"/>
  <c r="AN16" i="2" s="1"/>
  <c r="AN20" i="2" s="1"/>
  <c r="AN24" i="2" s="1"/>
  <c r="AN28" i="2" s="1"/>
  <c r="AN9" i="2"/>
  <c r="AN13" i="2" s="1"/>
  <c r="AN10" i="2"/>
  <c r="AN14" i="2" s="1"/>
  <c r="AN18" i="2" s="1"/>
  <c r="AN22" i="2" s="1"/>
  <c r="AN26" i="2" s="1"/>
  <c r="AN30" i="2" s="1"/>
  <c r="AN7" i="2"/>
  <c r="AN11" i="2" s="1"/>
  <c r="AN15" i="2" s="1"/>
  <c r="AN19" i="2" s="1"/>
  <c r="AN23" i="2" s="1"/>
  <c r="AN27" i="2" s="1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8" i="2"/>
  <c r="AM9" i="2"/>
  <c r="AM10" i="2"/>
  <c r="AM4" i="2"/>
  <c r="AM5" i="2"/>
  <c r="AM6" i="2"/>
  <c r="AI3" i="2"/>
  <c r="AH8" i="2"/>
  <c r="AH12" i="2" s="1"/>
  <c r="AG12" i="2" s="1"/>
  <c r="AH9" i="2"/>
  <c r="AH13" i="2" s="1"/>
  <c r="AG13" i="2" s="1"/>
  <c r="AH10" i="2"/>
  <c r="AH14" i="2" s="1"/>
  <c r="AG14" i="2" s="1"/>
  <c r="AH7" i="2"/>
  <c r="AH11" i="2" s="1"/>
  <c r="AI8" i="2"/>
  <c r="AI9" i="2"/>
  <c r="AI10" i="2"/>
  <c r="AI6" i="2"/>
  <c r="AM7" i="2"/>
  <c r="AI7" i="2"/>
  <c r="Y6" i="2"/>
  <c r="Y9" i="2" s="1"/>
  <c r="AM30" i="2" s="1"/>
  <c r="AI5" i="2"/>
  <c r="Y5" i="2"/>
  <c r="Y8" i="2" s="1"/>
  <c r="AI4" i="2"/>
  <c r="AM3" i="2"/>
  <c r="AK34" i="2" l="1"/>
  <c r="AK36" i="2"/>
  <c r="AC4" i="2"/>
  <c r="AB4" i="2" s="1"/>
  <c r="AM28" i="2"/>
  <c r="AM40" i="2"/>
  <c r="AK40" i="2" s="1"/>
  <c r="AM29" i="2"/>
  <c r="AM39" i="2"/>
  <c r="AK39" i="2" s="1"/>
  <c r="AM27" i="2"/>
  <c r="AK3" i="2"/>
  <c r="AL4" i="2"/>
  <c r="AL5" i="2" s="1"/>
  <c r="AK5" i="2" s="1"/>
  <c r="AK31" i="2"/>
  <c r="AK35" i="2"/>
  <c r="AK33" i="2"/>
  <c r="AK38" i="2"/>
  <c r="AK32" i="2"/>
  <c r="W9" i="2"/>
  <c r="AL12" i="2"/>
  <c r="AK12" i="2" s="1"/>
  <c r="AK20" i="2"/>
  <c r="AK37" i="2"/>
  <c r="W6" i="2"/>
  <c r="AL22" i="2"/>
  <c r="AK19" i="2"/>
  <c r="AC10" i="2"/>
  <c r="AC7" i="2"/>
  <c r="AN17" i="2"/>
  <c r="AN21" i="2" s="1"/>
  <c r="AN25" i="2" s="1"/>
  <c r="AN29" i="2" s="1"/>
  <c r="W7" i="2"/>
  <c r="AG8" i="2"/>
  <c r="AG3" i="2"/>
  <c r="AG4" i="2"/>
  <c r="AG7" i="2"/>
  <c r="AG6" i="2"/>
  <c r="W5" i="2"/>
  <c r="AK11" i="2"/>
  <c r="AG5" i="2"/>
  <c r="AG9" i="2"/>
  <c r="AG11" i="2"/>
  <c r="AG10" i="2"/>
  <c r="E25" i="5" l="1"/>
  <c r="E23" i="5"/>
  <c r="G23" i="5" s="1"/>
  <c r="E23" i="7"/>
  <c r="G23" i="7" s="1"/>
  <c r="AC5" i="2"/>
  <c r="E25" i="7"/>
  <c r="G25" i="7" s="1"/>
  <c r="E27" i="5"/>
  <c r="G27" i="5" s="1"/>
  <c r="E27" i="7"/>
  <c r="G27" i="7" s="1"/>
  <c r="AK4" i="2"/>
  <c r="W8" i="2"/>
  <c r="AK21" i="2"/>
  <c r="AL13" i="2"/>
  <c r="AL6" i="2"/>
  <c r="AO5" i="2"/>
  <c r="AK22" i="2"/>
  <c r="AL23" i="2"/>
  <c r="AC8" i="2"/>
  <c r="AB8" i="2" s="1"/>
  <c r="AB10" i="2"/>
  <c r="AC11" i="2"/>
  <c r="AB11" i="2" s="1"/>
  <c r="AB7" i="2"/>
  <c r="AB5" i="2"/>
  <c r="AO12" i="2" s="1"/>
  <c r="G32" i="7" l="1"/>
  <c r="AL26" i="3"/>
  <c r="AL32" i="3"/>
  <c r="AL38" i="3"/>
  <c r="AL44" i="3"/>
  <c r="AL20" i="3"/>
  <c r="AL25" i="3"/>
  <c r="AL37" i="3"/>
  <c r="AL49" i="3"/>
  <c r="AL21" i="3"/>
  <c r="AL27" i="3"/>
  <c r="AL33" i="3"/>
  <c r="AL39" i="3"/>
  <c r="AL45" i="3"/>
  <c r="AL31" i="3"/>
  <c r="AL43" i="3"/>
  <c r="AL22" i="3"/>
  <c r="AL28" i="3"/>
  <c r="AL34" i="3"/>
  <c r="AL40" i="3"/>
  <c r="AL46" i="3"/>
  <c r="AL23" i="3"/>
  <c r="AL29" i="3"/>
  <c r="AL35" i="3"/>
  <c r="AL41" i="3"/>
  <c r="AL47" i="3"/>
  <c r="AL24" i="3"/>
  <c r="AL30" i="3"/>
  <c r="AL36" i="3"/>
  <c r="AL42" i="3"/>
  <c r="AL48" i="3"/>
  <c r="G25" i="5"/>
  <c r="G32" i="5" s="1"/>
  <c r="AK24" i="3"/>
  <c r="AK30" i="3"/>
  <c r="AK36" i="3"/>
  <c r="AK42" i="3"/>
  <c r="AK48" i="3"/>
  <c r="AK43" i="3"/>
  <c r="AK29" i="3"/>
  <c r="AK47" i="3"/>
  <c r="AK20" i="3"/>
  <c r="AK25" i="3"/>
  <c r="AK31" i="3"/>
  <c r="AK37" i="3"/>
  <c r="AK49" i="3"/>
  <c r="AK41" i="3"/>
  <c r="AK26" i="3"/>
  <c r="AK32" i="3"/>
  <c r="AK38" i="3"/>
  <c r="AK44" i="3"/>
  <c r="AK21" i="3"/>
  <c r="AK27" i="3"/>
  <c r="AK33" i="3"/>
  <c r="AK39" i="3"/>
  <c r="AK45" i="3"/>
  <c r="AK22" i="3"/>
  <c r="AK28" i="3"/>
  <c r="AK34" i="3"/>
  <c r="AK40" i="3"/>
  <c r="AK46" i="3"/>
  <c r="AK23" i="3"/>
  <c r="AK35" i="3"/>
  <c r="AO3" i="2"/>
  <c r="AO31" i="2"/>
  <c r="AO4" i="2"/>
  <c r="AO19" i="2"/>
  <c r="AO33" i="2"/>
  <c r="AO39" i="2"/>
  <c r="AO34" i="2"/>
  <c r="AO21" i="2"/>
  <c r="AO11" i="2"/>
  <c r="AO37" i="2"/>
  <c r="AL14" i="2"/>
  <c r="AO13" i="2"/>
  <c r="AO20" i="2"/>
  <c r="AL7" i="2"/>
  <c r="AO6" i="2"/>
  <c r="AK6" i="2"/>
  <c r="AO22" i="2"/>
  <c r="AO40" i="2"/>
  <c r="AO23" i="2"/>
  <c r="AO38" i="2"/>
  <c r="AO32" i="2"/>
  <c r="AO36" i="2"/>
  <c r="AO35" i="2"/>
  <c r="AK13" i="2"/>
  <c r="AL24" i="2"/>
  <c r="AO24" i="2" s="1"/>
  <c r="AK23" i="2"/>
  <c r="AJ25" i="3" l="1"/>
  <c r="AI25" i="3" s="1"/>
  <c r="AJ31" i="3"/>
  <c r="AI31" i="3" s="1"/>
  <c r="AJ37" i="3"/>
  <c r="AI37" i="3" s="1"/>
  <c r="AJ43" i="3"/>
  <c r="AI43" i="3" s="1"/>
  <c r="AJ49" i="3"/>
  <c r="AJ26" i="3"/>
  <c r="AI26" i="3" s="1"/>
  <c r="AJ32" i="3"/>
  <c r="AI32" i="3" s="1"/>
  <c r="AJ44" i="3"/>
  <c r="AI44" i="3" s="1"/>
  <c r="AJ27" i="3"/>
  <c r="AI27" i="3" s="1"/>
  <c r="AJ45" i="3"/>
  <c r="AI45" i="3" s="1"/>
  <c r="AJ36" i="3"/>
  <c r="AI36" i="3" s="1"/>
  <c r="AJ38" i="3"/>
  <c r="AI38" i="3" s="1"/>
  <c r="AJ33" i="3"/>
  <c r="AI33" i="3" s="1"/>
  <c r="AI20" i="3"/>
  <c r="AJ21" i="3"/>
  <c r="AI21" i="3" s="1"/>
  <c r="AJ39" i="3"/>
  <c r="AI39" i="3" s="1"/>
  <c r="AJ24" i="3"/>
  <c r="AI24" i="3" s="1"/>
  <c r="AJ22" i="3"/>
  <c r="AI22" i="3" s="1"/>
  <c r="AJ28" i="3"/>
  <c r="AI28" i="3" s="1"/>
  <c r="AJ34" i="3"/>
  <c r="AI34" i="3" s="1"/>
  <c r="AJ40" i="3"/>
  <c r="AI40" i="3" s="1"/>
  <c r="AJ46" i="3"/>
  <c r="AJ42" i="3"/>
  <c r="AI42" i="3" s="1"/>
  <c r="AJ23" i="3"/>
  <c r="AI23" i="3" s="1"/>
  <c r="AJ29" i="3"/>
  <c r="AI29" i="3" s="1"/>
  <c r="AJ35" i="3"/>
  <c r="AI35" i="3" s="1"/>
  <c r="AJ41" i="3"/>
  <c r="AI41" i="3" s="1"/>
  <c r="AJ47" i="3"/>
  <c r="AJ30" i="3"/>
  <c r="AI30" i="3" s="1"/>
  <c r="AJ48" i="3"/>
  <c r="AL15" i="2"/>
  <c r="AO14" i="2"/>
  <c r="AL8" i="2"/>
  <c r="AO7" i="2"/>
  <c r="AK7" i="2"/>
  <c r="AK14" i="2"/>
  <c r="AL25" i="2"/>
  <c r="AK24" i="2"/>
  <c r="AI19" i="3" l="1"/>
  <c r="AL26" i="2"/>
  <c r="AO25" i="2"/>
  <c r="AL9" i="2"/>
  <c r="AO8" i="2"/>
  <c r="AK8" i="2"/>
  <c r="AL16" i="2"/>
  <c r="AO16" i="2" s="1"/>
  <c r="AO15" i="2"/>
  <c r="AK15" i="2"/>
  <c r="AK25" i="2"/>
  <c r="AL10" i="2" l="1"/>
  <c r="AO9" i="2"/>
  <c r="AK9" i="2"/>
  <c r="AL27" i="2"/>
  <c r="AO26" i="2"/>
  <c r="AK26" i="2"/>
  <c r="AK16" i="2"/>
  <c r="AL17" i="2"/>
  <c r="AO17" i="2" s="1"/>
  <c r="AL28" i="2" l="1"/>
  <c r="AO27" i="2"/>
  <c r="AK27" i="2"/>
  <c r="AO10" i="2"/>
  <c r="AK10" i="2"/>
  <c r="AK17" i="2"/>
  <c r="AL18" i="2"/>
  <c r="AO18" i="2" s="1"/>
  <c r="AO28" i="2" l="1"/>
  <c r="AL29" i="2"/>
  <c r="AK28" i="2"/>
  <c r="AK18" i="2"/>
  <c r="AO29" i="2" l="1"/>
  <c r="AK29" i="2"/>
  <c r="AL30" i="2"/>
  <c r="AO30" i="2" l="1"/>
  <c r="AK30" i="2"/>
</calcChain>
</file>

<file path=xl/sharedStrings.xml><?xml version="1.0" encoding="utf-8"?>
<sst xmlns="http://schemas.openxmlformats.org/spreadsheetml/2006/main" count="309" uniqueCount="162">
  <si>
    <t>EJU (European Judo Union)</t>
  </si>
  <si>
    <t>Visa required</t>
  </si>
  <si>
    <t>Arrival</t>
  </si>
  <si>
    <t>Departure</t>
  </si>
  <si>
    <t>Individual Information</t>
  </si>
  <si>
    <r>
      <t>Details for Visa application (</t>
    </r>
    <r>
      <rPr>
        <b/>
        <sz val="12"/>
        <color rgb="FFFF0000"/>
        <rFont val="Calibri"/>
        <family val="2"/>
        <scheme val="minor"/>
      </rPr>
      <t xml:space="preserve">enter data </t>
    </r>
    <r>
      <rPr>
        <b/>
        <u/>
        <sz val="12"/>
        <color rgb="FFFF0000"/>
        <rFont val="Calibri"/>
        <family val="2"/>
        <scheme val="minor"/>
      </rPr>
      <t>only</t>
    </r>
    <r>
      <rPr>
        <b/>
        <sz val="12"/>
        <color rgb="FFFF0000"/>
        <rFont val="Calibri"/>
        <family val="2"/>
        <scheme val="minor"/>
      </rPr>
      <t xml:space="preserve"> if Visa is necessary</t>
    </r>
    <r>
      <rPr>
        <b/>
        <sz val="12"/>
        <color rgb="FF001489"/>
        <rFont val="Calibri"/>
        <family val="2"/>
        <scheme val="minor"/>
      </rPr>
      <t>)</t>
    </r>
  </si>
  <si>
    <t>Transfer Shuttle required?</t>
  </si>
  <si>
    <t>Last name</t>
  </si>
  <si>
    <t>First name</t>
  </si>
  <si>
    <t>Weight Category, Function, and Gender</t>
  </si>
  <si>
    <t>Date of Birth</t>
  </si>
  <si>
    <t>Place of Birth</t>
  </si>
  <si>
    <t>Nationality</t>
  </si>
  <si>
    <t>Passport Number</t>
  </si>
  <si>
    <t>Date of Issue</t>
  </si>
  <si>
    <t>Date of Expiry</t>
  </si>
  <si>
    <t>Date</t>
  </si>
  <si>
    <t>Time</t>
  </si>
  <si>
    <t>From</t>
  </si>
  <si>
    <t>To</t>
  </si>
  <si>
    <t>Arriving by</t>
  </si>
  <si>
    <t>Departing by</t>
  </si>
  <si>
    <t>from Arrival location to
official hotel</t>
  </si>
  <si>
    <t>from official hotel to Departure location</t>
  </si>
  <si>
    <t>Type</t>
  </si>
  <si>
    <t>SubType1</t>
  </si>
  <si>
    <t>SortOrder</t>
  </si>
  <si>
    <t>Position</t>
  </si>
  <si>
    <t>Gender</t>
  </si>
  <si>
    <t>SubType2</t>
  </si>
  <si>
    <t>YES</t>
  </si>
  <si>
    <t>by Plane</t>
  </si>
  <si>
    <t>NO</t>
  </si>
  <si>
    <t>WeightOrFunction</t>
  </si>
  <si>
    <t>AccommodationCosts</t>
  </si>
  <si>
    <t>Headers</t>
  </si>
  <si>
    <t>Invoice subtitle</t>
  </si>
  <si>
    <t>Druckbereiche</t>
  </si>
  <si>
    <t>Category</t>
  </si>
  <si>
    <t>ArrivalDate</t>
  </si>
  <si>
    <t>DepartureDate</t>
  </si>
  <si>
    <t>TravelLocation</t>
  </si>
  <si>
    <t>TransferLocation</t>
  </si>
  <si>
    <t>LocomotionType</t>
  </si>
  <si>
    <t>Code</t>
  </si>
  <si>
    <t>Size</t>
  </si>
  <si>
    <t>Price</t>
  </si>
  <si>
    <t>Lodging</t>
  </si>
  <si>
    <t>Room</t>
  </si>
  <si>
    <t>AccreditationFee</t>
  </si>
  <si>
    <t>TCFeeEJU</t>
  </si>
  <si>
    <t>TCFeeNonEJU</t>
  </si>
  <si>
    <t>Visa Application</t>
  </si>
  <si>
    <t>Check In Liste</t>
  </si>
  <si>
    <t>MALE</t>
  </si>
  <si>
    <t>FEMALE</t>
  </si>
  <si>
    <t>Single</t>
  </si>
  <si>
    <t>BB</t>
  </si>
  <si>
    <t>AJU (African Judo Union)</t>
  </si>
  <si>
    <t>Double</t>
  </si>
  <si>
    <t>JUA (Judo Union of Asia)</t>
  </si>
  <si>
    <t>by Car or Bus</t>
  </si>
  <si>
    <t>FB</t>
  </si>
  <si>
    <t>EJUEntryFee</t>
  </si>
  <si>
    <t>OJU (Oceanian Judo Union)</t>
  </si>
  <si>
    <t>Shared</t>
  </si>
  <si>
    <t>PJC (Panamerican Judo Confederation)</t>
  </si>
  <si>
    <t>Other</t>
  </si>
  <si>
    <t>Athlete</t>
  </si>
  <si>
    <t>Hotel</t>
  </si>
  <si>
    <t>only Lunch</t>
  </si>
  <si>
    <t>only Dinner</t>
  </si>
  <si>
    <t>HotelAndLodgings</t>
  </si>
  <si>
    <t>Meal</t>
  </si>
  <si>
    <t>Hotels</t>
  </si>
  <si>
    <t>TCAccredFee</t>
  </si>
  <si>
    <t>Luxembourg Airport</t>
  </si>
  <si>
    <t>RoomPricesTC</t>
  </si>
  <si>
    <t>RoomPricesSunday</t>
  </si>
  <si>
    <t>HotelsEJO</t>
  </si>
  <si>
    <t>HotelsTC</t>
  </si>
  <si>
    <t>RoomTypes</t>
  </si>
  <si>
    <t>MealTypesEJO</t>
  </si>
  <si>
    <t>full board</t>
  </si>
  <si>
    <t>only breakfast</t>
  </si>
  <si>
    <t>MealTypesTC</t>
  </si>
  <si>
    <t>+lunch</t>
  </si>
  <si>
    <t>+dinner</t>
  </si>
  <si>
    <t>number of nights</t>
  </si>
  <si>
    <t>Coque only EJOpen-Starters</t>
  </si>
  <si>
    <t>Error1</t>
  </si>
  <si>
    <t>Bill Hotel, to hide</t>
  </si>
  <si>
    <t>MealPricesSunday</t>
  </si>
  <si>
    <t>MealPricesTC</t>
  </si>
  <si>
    <t>Cost</t>
  </si>
  <si>
    <t>Federation</t>
  </si>
  <si>
    <t>Contact Person</t>
  </si>
  <si>
    <t>Check your reservation!</t>
  </si>
  <si>
    <t>The table below gives you an overview of how many persons differentiated by gender are assigned to each room type.</t>
  </si>
  <si>
    <t>Otherwise higher accommodation costs could arise!</t>
  </si>
  <si>
    <t>Number of persons per room type and gender</t>
  </si>
  <si>
    <t>Room type</t>
  </si>
  <si>
    <t>Total</t>
  </si>
  <si>
    <t>Female</t>
  </si>
  <si>
    <t>Male</t>
  </si>
  <si>
    <t>Attention:</t>
  </si>
  <si>
    <r>
      <t xml:space="preserve">Violation of constraints mentioned above will be indicated in </t>
    </r>
    <r>
      <rPr>
        <b/>
        <sz val="12"/>
        <color rgb="FFFF0000"/>
        <rFont val="Calibri (Textkörper)"/>
      </rPr>
      <t>red</t>
    </r>
    <r>
      <rPr>
        <sz val="12"/>
        <rFont val="Calibri (Textkörper)"/>
      </rPr>
      <t xml:space="preserve"> color</t>
    </r>
    <r>
      <rPr>
        <sz val="11"/>
        <color theme="1"/>
        <rFont val="Calibri"/>
        <family val="2"/>
        <scheme val="minor"/>
      </rPr>
      <t>.</t>
    </r>
  </si>
  <si>
    <t>TOTAL</t>
  </si>
  <si>
    <t>Triple</t>
  </si>
  <si>
    <r>
      <t xml:space="preserve">*Prices per </t>
    </r>
    <r>
      <rPr>
        <u/>
        <sz val="9"/>
        <color theme="1"/>
        <rFont val="Calibri (Textkörper)"/>
      </rPr>
      <t>person</t>
    </r>
    <r>
      <rPr>
        <sz val="9"/>
        <color theme="1"/>
        <rFont val="Calibri"/>
        <family val="2"/>
        <scheme val="minor"/>
      </rPr>
      <t xml:space="preserve"> and night</t>
    </r>
  </si>
  <si>
    <t>Description</t>
  </si>
  <si>
    <t>Quantity</t>
  </si>
  <si>
    <t/>
  </si>
  <si>
    <t>Continent</t>
  </si>
  <si>
    <t>Interreg Judo Cooperation</t>
  </si>
  <si>
    <t>3, route d'Arlon</t>
  </si>
  <si>
    <t>8009 Strassen</t>
  </si>
  <si>
    <t>Luxembourg</t>
  </si>
  <si>
    <t xml:space="preserve">Bank details
</t>
  </si>
  <si>
    <t>Rooms*</t>
  </si>
  <si>
    <t>Please fill out the information and select the desired hotel(s) first</t>
  </si>
  <si>
    <t>Flight Number</t>
  </si>
  <si>
    <t>TP</t>
  </si>
  <si>
    <t>Proforma Invoice</t>
  </si>
  <si>
    <t>Billing party</t>
  </si>
  <si>
    <t>Bill to party</t>
  </si>
  <si>
    <r>
      <t xml:space="preserve">Please consider to assign </t>
    </r>
    <r>
      <rPr>
        <b/>
        <sz val="12"/>
        <color theme="1"/>
        <rFont val="Calibri"/>
        <family val="2"/>
        <scheme val="minor"/>
      </rPr>
      <t>two persons per double room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3 persons per triple/shared room</t>
    </r>
    <r>
      <rPr>
        <sz val="11"/>
        <color theme="1"/>
        <rFont val="Calibri"/>
        <family val="2"/>
        <scheme val="minor"/>
      </rPr>
      <t>!</t>
    </r>
  </si>
  <si>
    <t>Name of Account Holder:</t>
  </si>
  <si>
    <t xml:space="preserve"> Interreg Judo Cooperation</t>
  </si>
  <si>
    <t xml:space="preserve">Name of Bank: </t>
  </si>
  <si>
    <t>BGL BNP PARIBAS</t>
  </si>
  <si>
    <t xml:space="preserve">Payment Details: </t>
  </si>
  <si>
    <t xml:space="preserve">BIC: </t>
  </si>
  <si>
    <t>BGLLLULL</t>
  </si>
  <si>
    <t xml:space="preserve">IBAN: </t>
  </si>
  <si>
    <t>LU18 0030 3165 2346 0000</t>
  </si>
  <si>
    <r>
      <rPr>
        <b/>
        <sz val="12"/>
        <color rgb="FFFF0000"/>
        <rFont val="Calibri"/>
        <family val="2"/>
        <scheme val="minor"/>
      </rPr>
      <t>Please send 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8"/>
        <rFont val="Calibri"/>
        <family val="2"/>
        <scheme val="minor"/>
      </rPr>
      <t xml:space="preserve">accreditation@interreg-judo.eu </t>
    </r>
  </si>
  <si>
    <t>D’Coque</t>
  </si>
  <si>
    <t>RoomPrices</t>
  </si>
  <si>
    <t>MealPrices</t>
  </si>
  <si>
    <t>PCR-Tests</t>
  </si>
  <si>
    <t>on Arrival</t>
  </si>
  <si>
    <t>second test</t>
  </si>
  <si>
    <t>Exit Test</t>
  </si>
  <si>
    <t>TestDate</t>
  </si>
  <si>
    <t>Bill PCR, to hide</t>
  </si>
  <si>
    <t>Test PCR</t>
  </si>
  <si>
    <t>Cost of PCR</t>
  </si>
  <si>
    <t>JUNIOR EUROPEAN JUDO CHAMPIONSHIPS</t>
  </si>
  <si>
    <t>9-12 September 2021</t>
  </si>
  <si>
    <t>Your Country Code - EChamp Juniors 2021</t>
  </si>
  <si>
    <t>Junior European Juco Championships 9-12 September 2021</t>
  </si>
  <si>
    <t>Deadline</t>
  </si>
  <si>
    <t>Invoice</t>
  </si>
  <si>
    <t>YesNo</t>
  </si>
  <si>
    <t>Phone Number Contact Person</t>
  </si>
  <si>
    <t>Hotel Referees</t>
  </si>
  <si>
    <t>EJU-Referee</t>
  </si>
  <si>
    <t>Number of PCR Tests</t>
  </si>
  <si>
    <t>Last Arrival</t>
  </si>
  <si>
    <t>Junior European Judo Championships 9-12 September 2021</t>
  </si>
  <si>
    <t>JUNIOR EUROPEAN JUDO CHAMPIONSHIPS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</si>
</sst>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_-* #,##0\ _€_-;\-* #,##0\ _€_-;_-* &quot;-&quot;\ _€_-;_-@_-"/>
    <numFmt numFmtId="167" formatCode="mmm\ [$-809]dd;@"/>
    <numFmt numFmtId="168" formatCode="[$-809]dd\ mmm\ yyyy;@"/>
    <numFmt numFmtId="169" formatCode="mmm\ [$-809]dd\ ;@"/>
    <numFmt numFmtId="170" formatCode="hh:mm;@"/>
    <numFmt numFmtId="171" formatCode="#,##0\ &quot;€&quot;"/>
    <numFmt numFmtId="172" formatCode="#,##0.00\ &quot;€&quot;"/>
    <numFmt numFmtId="173" formatCode="_-* #,##0\ _€_-;\-* #,##0\ _€_-;_-* &quot;&quot;\ _€_-;_-@_-"/>
    <numFmt numFmtId="174" formatCode="dddd\ mmm\ [$-809]dd\ ;@"/>
  </numFmts>
  <fonts count="38" x14ac:knownFonts="1">
    <font>
      <sz val="11"/>
      <color theme="1"/>
      <name val="Calibri"/>
      <family val="2"/>
      <scheme val="minor"/>
    </font>
    <font>
      <b/>
      <sz val="20"/>
      <color rgb="FF145A99"/>
      <name val="Calibri"/>
      <family val="2"/>
      <scheme val="minor"/>
    </font>
    <font>
      <b/>
      <sz val="12"/>
      <color rgb="FF001489"/>
      <name val="Calibri"/>
      <family val="2"/>
      <scheme val="minor"/>
    </font>
    <font>
      <sz val="12"/>
      <color rgb="FF145A99"/>
      <name val="Calibri"/>
      <family val="2"/>
      <scheme val="minor"/>
    </font>
    <font>
      <b/>
      <sz val="12"/>
      <color rgb="FF145A9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5A99"/>
      <name val="Calibri (Textkörper)"/>
    </font>
    <font>
      <sz val="12"/>
      <color theme="1"/>
      <name val="Calibri (Textkörper)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1489"/>
      <name val="Calibri"/>
      <family val="2"/>
      <scheme val="minor"/>
    </font>
    <font>
      <b/>
      <sz val="12"/>
      <color rgb="FFFF0000"/>
      <name val="Calibri (Textkörper)"/>
    </font>
    <font>
      <sz val="12"/>
      <name val="Calibri (Textkörper)"/>
    </font>
    <font>
      <b/>
      <sz val="20"/>
      <color rgb="FF001489"/>
      <name val="Calibri"/>
      <family val="2"/>
      <scheme val="minor"/>
    </font>
    <font>
      <b/>
      <sz val="9"/>
      <color rgb="FF001489"/>
      <name val="Calibri"/>
      <family val="2"/>
    </font>
    <font>
      <b/>
      <sz val="9"/>
      <color indexed="8"/>
      <name val="Calibri"/>
      <family val="2"/>
    </font>
    <font>
      <sz val="12"/>
      <color rgb="FF001489"/>
      <name val="Calibri"/>
      <family val="2"/>
      <scheme val="minor"/>
    </font>
    <font>
      <b/>
      <sz val="9"/>
      <color rgb="FF00148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 (Textkörper)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u/>
      <sz val="12"/>
      <color theme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CE8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rgb="FF001489"/>
      </left>
      <right/>
      <top style="medium">
        <color rgb="FF001489"/>
      </top>
      <bottom style="thin">
        <color rgb="FF001489"/>
      </bottom>
      <diagonal/>
    </border>
    <border>
      <left/>
      <right/>
      <top style="medium">
        <color rgb="FF001489"/>
      </top>
      <bottom style="thin">
        <color rgb="FF001489"/>
      </bottom>
      <diagonal/>
    </border>
    <border>
      <left/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/>
      <right/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rgb="FF001489"/>
      </bottom>
      <diagonal/>
    </border>
    <border>
      <left/>
      <right/>
      <top style="thin">
        <color rgb="FF001489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1489"/>
      </left>
      <right/>
      <top style="medium">
        <color rgb="FF001489"/>
      </top>
      <bottom style="medium">
        <color rgb="FF001489"/>
      </bottom>
      <diagonal/>
    </border>
    <border>
      <left/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theme="4" tint="-0.499984740745262"/>
      </bottom>
      <diagonal/>
    </border>
    <border>
      <left/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thin">
        <color rgb="FF001489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 style="thin">
        <color rgb="FF001489"/>
      </right>
      <top/>
      <bottom style="thin">
        <color rgb="FF001489"/>
      </bottom>
      <diagonal/>
    </border>
    <border>
      <left style="medium">
        <color rgb="FF001489"/>
      </left>
      <right style="medium">
        <color theme="4" tint="-0.499984740745262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thin">
        <color rgb="FF001489"/>
      </left>
      <right style="medium">
        <color rgb="FF001489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medium">
        <color rgb="FF001489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/>
      <bottom style="thin">
        <color rgb="FF001489"/>
      </bottom>
      <diagonal/>
    </border>
    <border>
      <left style="thin">
        <color rgb="FF001489"/>
      </left>
      <right/>
      <top style="medium">
        <color rgb="FF002060"/>
      </top>
      <bottom style="medium">
        <color rgb="FF001489"/>
      </bottom>
      <diagonal/>
    </border>
    <border>
      <left/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/>
      <right/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/>
      <bottom/>
      <diagonal/>
    </border>
    <border>
      <left style="medium">
        <color theme="4" tint="-0.499984740745262"/>
      </left>
      <right/>
      <top style="thin">
        <color rgb="FF001489"/>
      </top>
      <bottom style="thin">
        <color rgb="FF00148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rgb="FF001489"/>
      </bottom>
      <diagonal/>
    </border>
    <border>
      <left/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/>
      <top style="medium">
        <color rgb="FF001489"/>
      </top>
      <bottom style="medium">
        <color rgb="FF001489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33" fillId="0" borderId="0" applyNumberFormat="0" applyFill="0" applyBorder="0" applyProtection="0"/>
  </cellStyleXfs>
  <cellXfs count="212">
    <xf numFmtId="0" fontId="0" fillId="0" borderId="0" xfId="0"/>
    <xf numFmtId="49" fontId="0" fillId="0" borderId="12" xfId="0" applyNumberFormat="1" applyBorder="1" applyAlignment="1" applyProtection="1">
      <alignment vertical="top"/>
      <protection locked="0"/>
    </xf>
    <xf numFmtId="49" fontId="0" fillId="0" borderId="5" xfId="0" applyNumberForma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168" fontId="0" fillId="0" borderId="5" xfId="0" applyNumberFormat="1" applyBorder="1" applyAlignment="1" applyProtection="1">
      <alignment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68" fontId="0" fillId="0" borderId="13" xfId="0" applyNumberFormat="1" applyBorder="1" applyAlignment="1" applyProtection="1">
      <alignment vertical="top"/>
      <protection locked="0"/>
    </xf>
    <xf numFmtId="169" fontId="0" fillId="0" borderId="12" xfId="0" applyNumberFormat="1" applyBorder="1" applyAlignment="1" applyProtection="1">
      <alignment vertical="top"/>
      <protection locked="0"/>
    </xf>
    <xf numFmtId="170" fontId="0" fillId="0" borderId="5" xfId="0" applyNumberForma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vertical="top"/>
      <protection locked="0"/>
    </xf>
    <xf numFmtId="49" fontId="0" fillId="0" borderId="13" xfId="0" applyNumberFormat="1" applyBorder="1" applyAlignment="1" applyProtection="1">
      <alignment vertical="top"/>
      <protection locked="0"/>
    </xf>
    <xf numFmtId="0" fontId="9" fillId="0" borderId="0" xfId="1"/>
    <xf numFmtId="0" fontId="6" fillId="0" borderId="0" xfId="1" applyFont="1"/>
    <xf numFmtId="0" fontId="1" fillId="0" borderId="0" xfId="1" applyFont="1" applyAlignment="1">
      <alignment vertical="center"/>
    </xf>
    <xf numFmtId="0" fontId="10" fillId="9" borderId="15" xfId="1" applyFont="1" applyFill="1" applyBorder="1"/>
    <xf numFmtId="167" fontId="9" fillId="0" borderId="0" xfId="1" applyNumberFormat="1"/>
    <xf numFmtId="171" fontId="9" fillId="0" borderId="0" xfId="1" applyNumberFormat="1"/>
    <xf numFmtId="0" fontId="3" fillId="0" borderId="0" xfId="1" applyFont="1" applyAlignment="1">
      <alignment vertical="center" wrapText="1"/>
    </xf>
    <xf numFmtId="0" fontId="9" fillId="0" borderId="0" xfId="1" quotePrefix="1"/>
    <xf numFmtId="0" fontId="9" fillId="0" borderId="0" xfId="1" applyFill="1"/>
    <xf numFmtId="0" fontId="9" fillId="0" borderId="0" xfId="1" applyNumberFormat="1" applyFill="1"/>
    <xf numFmtId="0" fontId="9" fillId="0" borderId="0" xfId="1" applyNumberFormat="1"/>
    <xf numFmtId="0" fontId="14" fillId="11" borderId="21" xfId="1" applyNumberFormat="1" applyFont="1" applyFill="1" applyBorder="1" applyAlignment="1"/>
    <xf numFmtId="0" fontId="9" fillId="12" borderId="22" xfId="1" applyNumberFormat="1" applyFont="1" applyFill="1" applyBorder="1" applyAlignment="1"/>
    <xf numFmtId="0" fontId="0" fillId="0" borderId="0" xfId="0" applyProtection="1">
      <protection hidden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Protection="1"/>
    <xf numFmtId="0" fontId="5" fillId="2" borderId="13" xfId="0" applyFont="1" applyFill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29" xfId="0" applyNumberFormat="1" applyBorder="1" applyAlignment="1" applyProtection="1">
      <alignment horizontal="center"/>
    </xf>
    <xf numFmtId="0" fontId="7" fillId="0" borderId="0" xfId="0" applyFont="1" applyProtection="1"/>
    <xf numFmtId="0" fontId="9" fillId="0" borderId="20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/>
    </xf>
    <xf numFmtId="0" fontId="2" fillId="2" borderId="30" xfId="0" applyFont="1" applyFill="1" applyBorder="1" applyAlignment="1" applyProtection="1">
      <alignment horizontal="right"/>
    </xf>
    <xf numFmtId="0" fontId="2" fillId="2" borderId="23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2" fillId="3" borderId="14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horizont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wrapText="1"/>
    </xf>
    <xf numFmtId="0" fontId="2" fillId="5" borderId="8" xfId="0" applyFont="1" applyFill="1" applyBorder="1" applyAlignment="1" applyProtection="1">
      <alignment horizontal="center" wrapText="1"/>
    </xf>
    <xf numFmtId="0" fontId="2" fillId="5" borderId="9" xfId="0" applyFont="1" applyFill="1" applyBorder="1" applyAlignment="1" applyProtection="1">
      <alignment horizontal="center" wrapText="1"/>
    </xf>
    <xf numFmtId="0" fontId="2" fillId="6" borderId="14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left" wrapText="1"/>
    </xf>
    <xf numFmtId="0" fontId="2" fillId="6" borderId="9" xfId="0" applyFont="1" applyFill="1" applyBorder="1" applyAlignment="1" applyProtection="1">
      <alignment horizontal="center" wrapText="1"/>
    </xf>
    <xf numFmtId="0" fontId="2" fillId="7" borderId="14" xfId="0" applyFont="1" applyFill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wrapText="1"/>
    </xf>
    <xf numFmtId="0" fontId="2" fillId="7" borderId="8" xfId="0" applyFont="1" applyFill="1" applyBorder="1" applyAlignment="1" applyProtection="1">
      <alignment horizontal="left" wrapText="1"/>
    </xf>
    <xf numFmtId="0" fontId="2" fillId="7" borderId="9" xfId="0" applyFont="1" applyFill="1" applyBorder="1" applyAlignment="1" applyProtection="1">
      <alignment horizontal="center" wrapText="1"/>
    </xf>
    <xf numFmtId="0" fontId="2" fillId="8" borderId="14" xfId="0" applyFont="1" applyFill="1" applyBorder="1" applyAlignment="1" applyProtection="1">
      <alignment horizontal="center" wrapText="1"/>
    </xf>
    <xf numFmtId="0" fontId="2" fillId="8" borderId="9" xfId="0" applyFont="1" applyFill="1" applyBorder="1" applyAlignment="1" applyProtection="1">
      <alignment horizontal="center" wrapText="1"/>
    </xf>
    <xf numFmtId="167" fontId="2" fillId="2" borderId="14" xfId="0" applyNumberFormat="1" applyFont="1" applyFill="1" applyBorder="1" applyAlignment="1" applyProtection="1">
      <alignment horizontal="center" wrapText="1"/>
    </xf>
    <xf numFmtId="0" fontId="2" fillId="14" borderId="19" xfId="0" applyFont="1" applyFill="1" applyBorder="1" applyAlignment="1" applyProtection="1">
      <alignment horizontal="center"/>
      <protection hidden="1"/>
    </xf>
    <xf numFmtId="171" fontId="16" fillId="14" borderId="18" xfId="0" applyNumberFormat="1" applyFont="1" applyFill="1" applyBorder="1" applyAlignment="1" applyProtection="1">
      <alignment horizontal="center" wrapText="1"/>
      <protection hidden="1"/>
    </xf>
    <xf numFmtId="0" fontId="15" fillId="13" borderId="10" xfId="0" applyFont="1" applyFill="1" applyBorder="1" applyAlignment="1" applyProtection="1">
      <alignment horizontal="center" wrapText="1"/>
      <protection hidden="1"/>
    </xf>
    <xf numFmtId="172" fontId="0" fillId="0" borderId="25" xfId="0" applyNumberFormat="1" applyBorder="1" applyAlignment="1" applyProtection="1">
      <alignment horizontal="right" vertical="top"/>
      <protection hidden="1"/>
    </xf>
    <xf numFmtId="171" fontId="0" fillId="0" borderId="0" xfId="0" applyNumberFormat="1" applyProtection="1"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2" fillId="2" borderId="40" xfId="0" applyFont="1" applyFill="1" applyBorder="1" applyProtection="1"/>
    <xf numFmtId="0" fontId="2" fillId="2" borderId="41" xfId="0" applyFont="1" applyFill="1" applyBorder="1" applyProtection="1"/>
    <xf numFmtId="167" fontId="2" fillId="2" borderId="42" xfId="0" applyNumberFormat="1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right"/>
    </xf>
    <xf numFmtId="0" fontId="2" fillId="2" borderId="44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173" fontId="0" fillId="0" borderId="38" xfId="0" applyNumberFormat="1" applyBorder="1" applyAlignment="1" applyProtection="1">
      <alignment vertical="center"/>
    </xf>
    <xf numFmtId="166" fontId="0" fillId="0" borderId="45" xfId="0" applyNumberFormat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166" fontId="0" fillId="0" borderId="47" xfId="0" applyNumberFormat="1" applyBorder="1" applyAlignment="1" applyProtection="1">
      <alignment vertical="center"/>
    </xf>
    <xf numFmtId="0" fontId="2" fillId="2" borderId="48" xfId="0" applyFont="1" applyFill="1" applyBorder="1" applyAlignment="1" applyProtection="1">
      <alignment vertical="center"/>
    </xf>
    <xf numFmtId="0" fontId="2" fillId="2" borderId="35" xfId="0" applyFont="1" applyFill="1" applyBorder="1" applyAlignment="1" applyProtection="1">
      <alignment vertical="center"/>
    </xf>
    <xf numFmtId="173" fontId="6" fillId="0" borderId="36" xfId="0" applyNumberFormat="1" applyFont="1" applyBorder="1" applyAlignment="1" applyProtection="1">
      <alignment vertical="center"/>
    </xf>
    <xf numFmtId="166" fontId="6" fillId="0" borderId="49" xfId="0" applyNumberFormat="1" applyFont="1" applyBorder="1" applyAlignment="1" applyProtection="1">
      <alignment vertical="center"/>
    </xf>
    <xf numFmtId="0" fontId="2" fillId="2" borderId="53" xfId="0" applyFont="1" applyFill="1" applyBorder="1" applyAlignment="1" applyProtection="1">
      <alignment vertical="center"/>
    </xf>
    <xf numFmtId="0" fontId="2" fillId="2" borderId="54" xfId="0" applyFont="1" applyFill="1" applyBorder="1" applyAlignment="1" applyProtection="1">
      <alignment vertical="center"/>
    </xf>
    <xf numFmtId="173" fontId="6" fillId="0" borderId="55" xfId="0" applyNumberFormat="1" applyFont="1" applyBorder="1" applyAlignment="1" applyProtection="1">
      <alignment vertical="center"/>
    </xf>
    <xf numFmtId="166" fontId="6" fillId="0" borderId="56" xfId="0" applyNumberFormat="1" applyFont="1" applyBorder="1" applyAlignment="1" applyProtection="1">
      <alignment vertical="center"/>
    </xf>
    <xf numFmtId="173" fontId="2" fillId="2" borderId="42" xfId="0" applyNumberFormat="1" applyFont="1" applyFill="1" applyBorder="1" applyAlignment="1" applyProtection="1">
      <alignment horizontal="center"/>
    </xf>
    <xf numFmtId="173" fontId="2" fillId="2" borderId="42" xfId="0" applyNumberFormat="1" applyFont="1" applyFill="1" applyBorder="1" applyAlignment="1" applyProtection="1"/>
    <xf numFmtId="166" fontId="3" fillId="0" borderId="0" xfId="0" applyNumberFormat="1" applyFont="1" applyAlignment="1" applyProtection="1">
      <alignment vertical="center"/>
    </xf>
    <xf numFmtId="166" fontId="4" fillId="0" borderId="0" xfId="0" applyNumberFormat="1" applyFont="1" applyAlignment="1" applyProtection="1">
      <alignment vertical="center"/>
    </xf>
    <xf numFmtId="0" fontId="21" fillId="0" borderId="0" xfId="0" applyFont="1" applyProtection="1"/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6" fillId="0" borderId="0" xfId="0" applyFont="1" applyProtection="1"/>
    <xf numFmtId="0" fontId="22" fillId="0" borderId="0" xfId="0" applyFont="1" applyProtection="1"/>
    <xf numFmtId="0" fontId="2" fillId="0" borderId="0" xfId="0" applyFont="1" applyProtection="1"/>
    <xf numFmtId="166" fontId="0" fillId="0" borderId="0" xfId="0" applyNumberFormat="1" applyProtection="1"/>
    <xf numFmtId="0" fontId="2" fillId="2" borderId="58" xfId="0" applyFont="1" applyFill="1" applyBorder="1" applyAlignment="1" applyProtection="1">
      <alignment horizontal="center" wrapText="1"/>
    </xf>
    <xf numFmtId="0" fontId="2" fillId="2" borderId="68" xfId="0" applyFont="1" applyFill="1" applyBorder="1" applyAlignment="1" applyProtection="1">
      <alignment horizontal="left" wrapText="1"/>
    </xf>
    <xf numFmtId="0" fontId="2" fillId="2" borderId="59" xfId="0" applyFont="1" applyFill="1" applyBorder="1" applyAlignment="1" applyProtection="1">
      <alignment horizontal="center" wrapText="1"/>
    </xf>
    <xf numFmtId="0" fontId="2" fillId="2" borderId="60" xfId="0" applyFont="1" applyFill="1" applyBorder="1" applyAlignment="1" applyProtection="1">
      <alignment horizontal="center" wrapText="1"/>
    </xf>
    <xf numFmtId="0" fontId="0" fillId="0" borderId="39" xfId="0" applyBorder="1" applyAlignment="1" applyProtection="1">
      <alignment horizontal="left" vertical="center"/>
    </xf>
    <xf numFmtId="171" fontId="0" fillId="0" borderId="39" xfId="0" applyNumberFormat="1" applyBorder="1" applyAlignment="1" applyProtection="1">
      <alignment vertical="center"/>
    </xf>
    <xf numFmtId="166" fontId="0" fillId="0" borderId="39" xfId="0" applyNumberFormat="1" applyBorder="1" applyAlignment="1" applyProtection="1">
      <alignment vertical="center"/>
    </xf>
    <xf numFmtId="165" fontId="0" fillId="0" borderId="61" xfId="0" applyNumberFormat="1" applyBorder="1" applyAlignment="1" applyProtection="1">
      <alignment vertical="center"/>
    </xf>
    <xf numFmtId="165" fontId="0" fillId="0" borderId="66" xfId="0" applyNumberFormat="1" applyBorder="1" applyAlignment="1" applyProtection="1">
      <alignment vertical="center"/>
    </xf>
    <xf numFmtId="171" fontId="0" fillId="0" borderId="5" xfId="0" applyNumberFormat="1" applyBorder="1" applyAlignment="1" applyProtection="1">
      <alignment vertical="center"/>
    </xf>
    <xf numFmtId="166" fontId="0" fillId="0" borderId="5" xfId="0" applyNumberFormat="1" applyBorder="1" applyAlignment="1" applyProtection="1">
      <alignment vertical="center"/>
    </xf>
    <xf numFmtId="0" fontId="0" fillId="0" borderId="62" xfId="0" applyBorder="1" applyAlignment="1" applyProtection="1">
      <alignment horizontal="right" vertical="center" indent="1"/>
    </xf>
    <xf numFmtId="0" fontId="0" fillId="0" borderId="5" xfId="0" applyBorder="1" applyAlignment="1" applyProtection="1">
      <alignment horizontal="left" vertical="center"/>
    </xf>
    <xf numFmtId="0" fontId="0" fillId="0" borderId="63" xfId="0" applyBorder="1" applyAlignment="1" applyProtection="1">
      <alignment horizontal="right" vertical="center" indent="1"/>
    </xf>
    <xf numFmtId="0" fontId="0" fillId="0" borderId="64" xfId="0" applyBorder="1" applyAlignment="1" applyProtection="1">
      <alignment horizontal="left" vertical="center"/>
    </xf>
    <xf numFmtId="171" fontId="0" fillId="0" borderId="64" xfId="0" applyNumberFormat="1" applyBorder="1" applyAlignment="1" applyProtection="1">
      <alignment vertical="center"/>
    </xf>
    <xf numFmtId="166" fontId="0" fillId="0" borderId="64" xfId="0" applyNumberFormat="1" applyBorder="1" applyAlignment="1" applyProtection="1">
      <alignment vertical="center"/>
    </xf>
    <xf numFmtId="165" fontId="0" fillId="0" borderId="65" xfId="0" applyNumberFormat="1" applyBorder="1" applyAlignment="1" applyProtection="1">
      <alignment vertical="center"/>
    </xf>
    <xf numFmtId="165" fontId="6" fillId="0" borderId="57" xfId="0" applyNumberFormat="1" applyFont="1" applyBorder="1" applyProtection="1"/>
    <xf numFmtId="172" fontId="26" fillId="0" borderId="0" xfId="0" applyNumberFormat="1" applyFont="1" applyProtection="1"/>
    <xf numFmtId="0" fontId="29" fillId="0" borderId="0" xfId="0" applyFont="1" applyProtection="1"/>
    <xf numFmtId="0" fontId="6" fillId="0" borderId="0" xfId="0" applyFont="1" applyProtection="1"/>
    <xf numFmtId="0" fontId="32" fillId="0" borderId="73" xfId="0" applyFont="1" applyFill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</xf>
    <xf numFmtId="0" fontId="5" fillId="2" borderId="12" xfId="0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2" xfId="0" applyFont="1" applyBorder="1" applyAlignment="1" applyProtection="1">
      <alignment horizontal="left" vertical="top"/>
      <protection locked="0"/>
    </xf>
    <xf numFmtId="167" fontId="15" fillId="13" borderId="14" xfId="0" applyNumberFormat="1" applyFont="1" applyFill="1" applyBorder="1" applyAlignment="1" applyProtection="1">
      <alignment horizontal="center" wrapText="1"/>
    </xf>
    <xf numFmtId="171" fontId="27" fillId="0" borderId="0" xfId="0" applyNumberFormat="1" applyFont="1" applyProtection="1">
      <protection hidden="1"/>
    </xf>
    <xf numFmtId="0" fontId="15" fillId="13" borderId="74" xfId="0" applyFont="1" applyFill="1" applyBorder="1" applyAlignment="1" applyProtection="1">
      <protection hidden="1"/>
    </xf>
    <xf numFmtId="0" fontId="15" fillId="13" borderId="0" xfId="0" applyFont="1" applyFill="1" applyBorder="1" applyAlignment="1" applyProtection="1">
      <alignment horizontal="center" wrapText="1"/>
      <protection hidden="1"/>
    </xf>
    <xf numFmtId="172" fontId="0" fillId="0" borderId="0" xfId="0" applyNumberFormat="1"/>
    <xf numFmtId="0" fontId="34" fillId="0" borderId="0" xfId="0" applyFont="1" applyAlignment="1" applyProtection="1">
      <alignment horizontal="left"/>
    </xf>
    <xf numFmtId="168" fontId="34" fillId="0" borderId="0" xfId="0" applyNumberFormat="1" applyFont="1" applyAlignment="1" applyProtection="1">
      <alignment horizontal="right"/>
    </xf>
    <xf numFmtId="0" fontId="30" fillId="0" borderId="0" xfId="0" applyFont="1" applyAlignment="1" applyProtection="1"/>
    <xf numFmtId="0" fontId="0" fillId="0" borderId="5" xfId="0" applyBorder="1" applyAlignment="1" applyProtection="1">
      <alignment horizontal="left" vertical="center"/>
    </xf>
    <xf numFmtId="0" fontId="0" fillId="0" borderId="64" xfId="0" applyBorder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39" xfId="0" applyBorder="1" applyAlignment="1" applyProtection="1">
      <alignment horizontal="left" vertical="center"/>
    </xf>
    <xf numFmtId="0" fontId="35" fillId="0" borderId="0" xfId="0" applyFont="1" applyProtection="1"/>
    <xf numFmtId="0" fontId="36" fillId="0" borderId="0" xfId="0" applyFont="1" applyProtection="1"/>
    <xf numFmtId="0" fontId="37" fillId="0" borderId="0" xfId="0" applyFont="1" applyProtection="1"/>
    <xf numFmtId="167" fontId="2" fillId="2" borderId="42" xfId="0" applyNumberFormat="1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right"/>
    </xf>
    <xf numFmtId="173" fontId="6" fillId="0" borderId="36" xfId="0" applyNumberFormat="1" applyFont="1" applyBorder="1" applyAlignment="1">
      <alignment vertical="center"/>
    </xf>
    <xf numFmtId="166" fontId="6" fillId="0" borderId="49" xfId="0" applyNumberFormat="1" applyFont="1" applyBorder="1" applyAlignment="1">
      <alignment vertical="center"/>
    </xf>
    <xf numFmtId="174" fontId="0" fillId="0" borderId="12" xfId="0" applyNumberFormat="1" applyBorder="1" applyAlignment="1" applyProtection="1">
      <alignment vertical="top"/>
      <protection locked="0"/>
    </xf>
    <xf numFmtId="0" fontId="2" fillId="7" borderId="14" xfId="0" applyFont="1" applyFill="1" applyBorder="1" applyAlignment="1" applyProtection="1">
      <alignment horizontal="center" vertical="center" wrapText="1"/>
    </xf>
    <xf numFmtId="20" fontId="2" fillId="7" borderId="8" xfId="0" applyNumberFormat="1" applyFont="1" applyFill="1" applyBorder="1" applyAlignment="1" applyProtection="1">
      <alignment horizontal="center" vertical="center" wrapText="1"/>
    </xf>
    <xf numFmtId="49" fontId="0" fillId="0" borderId="31" xfId="0" applyNumberFormat="1" applyBorder="1" applyAlignment="1" applyProtection="1">
      <alignment horizontal="left"/>
      <protection locked="0"/>
    </xf>
    <xf numFmtId="49" fontId="0" fillId="0" borderId="32" xfId="0" applyNumberFormat="1" applyBorder="1" applyAlignment="1" applyProtection="1">
      <alignment horizontal="left"/>
      <protection locked="0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8" borderId="11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33" xfId="0" applyNumberFormat="1" applyBorder="1" applyAlignment="1" applyProtection="1">
      <alignment horizontal="left"/>
      <protection locked="0"/>
    </xf>
    <xf numFmtId="0" fontId="2" fillId="10" borderId="1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2" xfId="0" applyFont="1" applyFill="1" applyBorder="1" applyAlignment="1" applyProtection="1">
      <alignment horizontal="right"/>
    </xf>
    <xf numFmtId="0" fontId="2" fillId="2" borderId="50" xfId="0" applyFont="1" applyFill="1" applyBorder="1" applyAlignment="1" applyProtection="1">
      <alignment horizontal="right"/>
    </xf>
    <xf numFmtId="0" fontId="2" fillId="2" borderId="27" xfId="0" applyFont="1" applyFill="1" applyBorder="1" applyAlignment="1" applyProtection="1">
      <alignment horizontal="right"/>
    </xf>
    <xf numFmtId="0" fontId="2" fillId="2" borderId="28" xfId="0" applyFont="1" applyFill="1" applyBorder="1" applyAlignment="1" applyProtection="1">
      <alignment horizontal="right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34" xfId="0" applyNumberFormat="1" applyBorder="1" applyAlignment="1" applyProtection="1">
      <alignment horizontal="left"/>
      <protection locked="0"/>
    </xf>
    <xf numFmtId="0" fontId="15" fillId="13" borderId="74" xfId="0" applyFont="1" applyFill="1" applyBorder="1" applyAlignment="1" applyProtection="1">
      <alignment horizontal="center"/>
      <protection hidden="1"/>
    </xf>
    <xf numFmtId="0" fontId="15" fillId="13" borderId="0" xfId="0" applyFont="1" applyFill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horizontal="center"/>
    </xf>
    <xf numFmtId="0" fontId="2" fillId="8" borderId="75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2" borderId="77" xfId="0" applyFont="1" applyFill="1" applyBorder="1" applyAlignment="1">
      <alignment horizontal="center"/>
    </xf>
    <xf numFmtId="0" fontId="2" fillId="2" borderId="78" xfId="0" applyFont="1" applyFill="1" applyBorder="1" applyAlignment="1">
      <alignment horizontal="center"/>
    </xf>
    <xf numFmtId="0" fontId="2" fillId="2" borderId="7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15" borderId="0" xfId="0" applyFont="1" applyFill="1" applyAlignment="1" applyProtection="1">
      <alignment horizontal="right" vertical="top"/>
    </xf>
    <xf numFmtId="0" fontId="0" fillId="15" borderId="0" xfId="0" applyFill="1" applyAlignment="1" applyProtection="1">
      <alignment horizontal="left" vertical="top" wrapText="1"/>
    </xf>
    <xf numFmtId="0" fontId="2" fillId="2" borderId="51" xfId="0" applyFont="1" applyFill="1" applyBorder="1" applyAlignment="1" applyProtection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left" vertical="top" wrapText="1"/>
    </xf>
    <xf numFmtId="0" fontId="0" fillId="0" borderId="64" xfId="0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indent="1"/>
    </xf>
    <xf numFmtId="0" fontId="1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3" fillId="0" borderId="0" xfId="0" applyFont="1" applyAlignment="1" applyProtection="1">
      <alignment horizontal="right"/>
    </xf>
    <xf numFmtId="0" fontId="2" fillId="2" borderId="67" xfId="0" applyFont="1" applyFill="1" applyBorder="1" applyAlignment="1" applyProtection="1">
      <alignment horizontal="left" wrapText="1"/>
    </xf>
    <xf numFmtId="0" fontId="2" fillId="2" borderId="69" xfId="0" applyFont="1" applyFill="1" applyBorder="1" applyAlignment="1" applyProtection="1">
      <alignment horizontal="left" wrapText="1"/>
    </xf>
    <xf numFmtId="0" fontId="0" fillId="0" borderId="39" xfId="0" applyBorder="1" applyAlignment="1" applyProtection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4">
    <cellStyle name="Normal" xfId="0" builtinId="0"/>
    <cellStyle name="Normal 2" xfId="2" xr:uid="{0AB36AC1-02DF-4608-98FF-254DCAB1F0ED}"/>
    <cellStyle name="Stand. 2" xfId="3" xr:uid="{2601BE98-A523-4748-80C2-6C67F5B65EF2}"/>
    <cellStyle name="Standard 2" xfId="1" xr:uid="{2264200A-04FA-48D5-8F0F-6C28DAED2598}"/>
  </cellStyles>
  <dxfs count="72">
    <dxf>
      <numFmt numFmtId="167" formatCode="mmm\ [$-809]dd;@"/>
    </dxf>
    <dxf>
      <numFmt numFmtId="167" formatCode="mmm\ [$-809]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numFmt numFmtId="0" formatCode="General"/>
    </dxf>
    <dxf>
      <numFmt numFmtId="171" formatCode="#,##0\ &quot;€&quot;"/>
    </dxf>
    <dxf>
      <numFmt numFmtId="171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0" formatCode="General"/>
    </dxf>
    <dxf>
      <numFmt numFmtId="171" formatCode="#,##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numFmt numFmtId="167" formatCode="mmm\ [$-809]dd;@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b/>
        <i val="0"/>
        <strike val="0"/>
        <color rgb="FFFF0000"/>
      </font>
      <fill>
        <patternFill patternType="solid">
          <bgColor theme="0" tint="-0.34998626667073579"/>
        </patternFill>
      </fill>
    </dxf>
    <dxf>
      <font>
        <strike/>
      </font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strike val="0"/>
        <color rgb="FFC00000"/>
      </font>
      <fill>
        <patternFill patternType="solid">
          <fgColor auto="1"/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strike/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7696B1-B2CA-4228-BB60-85F14F81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57062"/>
          <a:ext cx="1401744" cy="45114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653B78-8F50-414A-B72B-1FE1D1C0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06" y="175486"/>
          <a:ext cx="820270" cy="49258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169066</xdr:rowOff>
    </xdr:from>
    <xdr:to>
      <xdr:col>3</xdr:col>
      <xdr:colOff>885264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2560FF18-F913-4942-BAD5-E8384472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9066"/>
          <a:ext cx="790014" cy="549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8231</xdr:colOff>
      <xdr:row>0</xdr:row>
      <xdr:rowOff>170553</xdr:rowOff>
    </xdr:from>
    <xdr:to>
      <xdr:col>5</xdr:col>
      <xdr:colOff>106456</xdr:colOff>
      <xdr:row>3</xdr:row>
      <xdr:rowOff>176131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310C42-E015-4B49-9E9B-02D657D5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731" y="170553"/>
          <a:ext cx="860225" cy="577078"/>
        </a:xfrm>
        <a:prstGeom prst="rect">
          <a:avLst/>
        </a:prstGeom>
      </xdr:spPr>
    </xdr:pic>
    <xdr:clientData/>
  </xdr:twoCellAnchor>
  <xdr:twoCellAnchor editAs="oneCell">
    <xdr:from>
      <xdr:col>5</xdr:col>
      <xdr:colOff>239018</xdr:colOff>
      <xdr:row>1</xdr:row>
      <xdr:rowOff>12909</xdr:rowOff>
    </xdr:from>
    <xdr:to>
      <xdr:col>6</xdr:col>
      <xdr:colOff>216834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96163AA-6EBE-45F1-A83F-4542C499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518" y="203409"/>
          <a:ext cx="739816" cy="527064"/>
        </a:xfrm>
        <a:prstGeom prst="rect">
          <a:avLst/>
        </a:prstGeom>
      </xdr:spPr>
    </xdr:pic>
    <xdr:clientData/>
  </xdr:twoCellAnchor>
  <xdr:twoCellAnchor editAs="oneCell">
    <xdr:from>
      <xdr:col>6</xdr:col>
      <xdr:colOff>340261</xdr:colOff>
      <xdr:row>0</xdr:row>
      <xdr:rowOff>126850</xdr:rowOff>
    </xdr:from>
    <xdr:to>
      <xdr:col>7</xdr:col>
      <xdr:colOff>19218</xdr:colOff>
      <xdr:row>4</xdr:row>
      <xdr:rowOff>35860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E2A8643-1F41-4BF0-B04C-8F81C703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761" y="126850"/>
          <a:ext cx="698132" cy="671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1C275D6-823F-47A2-A495-90E7D6AF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68268"/>
          <a:ext cx="1374850" cy="47356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C43F12-ECE5-4716-85E1-6AFB82EF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62" y="175486"/>
          <a:ext cx="785532" cy="52620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169066</xdr:rowOff>
    </xdr:from>
    <xdr:to>
      <xdr:col>3</xdr:col>
      <xdr:colOff>885264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543502FB-0400-4BF7-8B58-98D04D3B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9066"/>
          <a:ext cx="790014" cy="549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8231</xdr:colOff>
      <xdr:row>0</xdr:row>
      <xdr:rowOff>170553</xdr:rowOff>
    </xdr:from>
    <xdr:to>
      <xdr:col>5</xdr:col>
      <xdr:colOff>106456</xdr:colOff>
      <xdr:row>3</xdr:row>
      <xdr:rowOff>176131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9F870A-CABE-483D-B73D-7A776BA3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731" y="170553"/>
          <a:ext cx="860225" cy="577078"/>
        </a:xfrm>
        <a:prstGeom prst="rect">
          <a:avLst/>
        </a:prstGeom>
      </xdr:spPr>
    </xdr:pic>
    <xdr:clientData/>
  </xdr:twoCellAnchor>
  <xdr:twoCellAnchor editAs="oneCell">
    <xdr:from>
      <xdr:col>5</xdr:col>
      <xdr:colOff>239018</xdr:colOff>
      <xdr:row>1</xdr:row>
      <xdr:rowOff>12909</xdr:rowOff>
    </xdr:from>
    <xdr:to>
      <xdr:col>6</xdr:col>
      <xdr:colOff>216834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9E74465-9DBA-49AB-B9ED-7C3D9AB2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518" y="203409"/>
          <a:ext cx="739816" cy="527064"/>
        </a:xfrm>
        <a:prstGeom prst="rect">
          <a:avLst/>
        </a:prstGeom>
      </xdr:spPr>
    </xdr:pic>
    <xdr:clientData/>
  </xdr:twoCellAnchor>
  <xdr:twoCellAnchor editAs="oneCell">
    <xdr:from>
      <xdr:col>6</xdr:col>
      <xdr:colOff>340261</xdr:colOff>
      <xdr:row>0</xdr:row>
      <xdr:rowOff>126850</xdr:rowOff>
    </xdr:from>
    <xdr:to>
      <xdr:col>7</xdr:col>
      <xdr:colOff>19218</xdr:colOff>
      <xdr:row>4</xdr:row>
      <xdr:rowOff>35860</xdr:rowOff>
    </xdr:to>
    <xdr:pic>
      <xdr:nvPicPr>
        <xdr:cNvPr id="7" name="Grafik 7">
          <a:extLst>
            <a:ext uri="{FF2B5EF4-FFF2-40B4-BE49-F238E27FC236}">
              <a16:creationId xmlns:a16="http://schemas.microsoft.com/office/drawing/2014/main" id="{AF0E4484-22FB-405E-8C9F-89F01E84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761" y="126850"/>
          <a:ext cx="698132" cy="671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nis/OneDrive/Desktop/Interreg/Aktionen/2019.09.29%20EOpen2019%20LUX/Departments/Accreditation/docs%20Stefan/Meldeformular%20Saarbr&#252;cken%202018%20final_offe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sylviebach/Interreg%20Judo%20Coop.%20Dropbox/Sylvie%20Bach/IJC%20intern/INTERREG%20JUDO%20COMPETITION/U21%20EUROPEAN%20JUDO%20CHAMPIONSHIPS%202021/Accommodation/C:\Users\denis\OneDrive\Documents\Users\Denis\Desktop\Judo\Interreg\Aktionen\2019.09.29%20EOpen2019%20LUX\other%20departments\Accreditation\bearbeiten\Meldeformular%20Saarbr&#252;cken%202018%20final%20TESTS%20-%20dbV1.xlsx?5B84351A" TargetMode="External"/><Relationship Id="rId1" Type="http://schemas.openxmlformats.org/officeDocument/2006/relationships/externalLinkPath" Target="file:///5B84351A/Meldeformular%20Saarbr&#252;cken%202018%20final%20TESTS%20-%20db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Form"/>
      <sheetName val="Check your reservation"/>
      <sheetName val="Coaches and Officials"/>
      <sheetName val="Women"/>
      <sheetName val="Men"/>
      <sheetName val="Visa Application"/>
      <sheetName val="Kontrolle"/>
      <sheetName val="Check In Liste"/>
      <sheetName val="Voucher"/>
      <sheetName val="Rechnung"/>
      <sheetName val="Rechnung EJU Entry Fee"/>
      <sheetName val="Federation"/>
      <sheetName val="Parameters"/>
      <sheetName val="Meldeformular Saarbrücken 201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B2" t="str">
            <v>SENIOR EUROPEAN JUDO CUP</v>
          </cell>
          <cell r="BC2" t="str">
            <v>Senior European Judo Cup 2017, Saarbruecken - Germany</v>
          </cell>
        </row>
        <row r="3">
          <cell r="AY3">
            <v>0</v>
          </cell>
          <cell r="AZ3">
            <v>30</v>
          </cell>
          <cell r="BA3">
            <v>100</v>
          </cell>
          <cell r="BB3" t="str">
            <v>July, 14 and 15, 2018
EJU SENIOR TRAINING CAMP, July 16 to 18, 2018 (Saarbruecken, Germany)</v>
          </cell>
        </row>
        <row r="5">
          <cell r="AW5" t="str">
            <v>EJU (European Judo Union)</v>
          </cell>
        </row>
        <row r="6">
          <cell r="AY6">
            <v>10</v>
          </cell>
        </row>
        <row r="9">
          <cell r="AY9">
            <v>30</v>
          </cell>
        </row>
        <row r="12">
          <cell r="AY12">
            <v>50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F904C9-1DAD-45BE-99F9-BE39DE113F7F}" name="tblWeightOrFunction" displayName="tblWeightOrFunction" ref="A2:G4" totalsRowShown="0" headerRowDxfId="32">
  <autoFilter ref="A2:G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0CDC34-1CC4-4D2D-A69A-ACDBC0E511AE}" name="Category" dataDxfId="31">
      <calculatedColumnFormula>tblWeightOrFunction[[#This Row],[SubType1]]&amp;", "&amp;tblWeightOrFunction[[#This Row],[Gender]]</calculatedColumnFormula>
    </tableColumn>
    <tableColumn id="7" xr3:uid="{75944A7C-3306-4BC2-A70D-E0189E648DD2}" name="Gender"/>
    <tableColumn id="2" xr3:uid="{2FA6849C-CAED-423C-ADA0-30890554881D}" name="Type"/>
    <tableColumn id="3" xr3:uid="{0AD7F8F0-A47C-43D3-B05B-73243A0B40A9}" name="SubType1"/>
    <tableColumn id="4" xr3:uid="{44ED72B8-1A3F-415F-8C1D-D1162980D9DD}" name="SubType2"/>
    <tableColumn id="5" xr3:uid="{4CDB18EB-3BD1-41A7-B8AD-405EF0C2C6E7}" name="Position" dataDxfId="30">
      <calculatedColumnFormula>tblWeightOrFunction[[#This Row],[SubType2]]</calculatedColumnFormula>
    </tableColumn>
    <tableColumn id="6" xr3:uid="{AE375F53-F4E7-4E15-A165-E5677373BDCB}" name="SortOrder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597626A-561C-4873-99F7-C3E8C9DC0749}" name="tblGender" displayName="tblGender" ref="I2:I4" totalsRowShown="0" headerRowDxfId="18">
  <autoFilter ref="I2:I4" xr:uid="{00000000-0009-0000-0100-000002000000}">
    <filterColumn colId="0" hiddenButton="1"/>
  </autoFilter>
  <tableColumns count="1">
    <tableColumn id="1" xr3:uid="{4D52A37D-87AE-40C3-B4CE-2B13FE09D757}" name="Gender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96B4B5A-4689-408C-B460-2EC62E80D5C7}" name="tblContinent" displayName="tblContinent" ref="AQ2:AQ8" totalsRowShown="0">
  <autoFilter ref="AQ2:AQ8" xr:uid="{00000000-0009-0000-0100-000020000000}"/>
  <tableColumns count="1">
    <tableColumn id="1" xr3:uid="{6F51B005-6820-472E-9F7F-8C4146BD31E1}" name="Continent" dataDxfId="17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01C9E26-3310-4FF5-ADC3-37C6192D3300}" name="tblHotels" displayName="tblHotels" ref="U10:U11" totalsRowShown="0">
  <autoFilter ref="U10:U11" xr:uid="{37665910-1C16-4ADC-A650-E49B7B1FA96B}"/>
  <tableColumns count="1">
    <tableColumn id="1" xr3:uid="{8308C7B2-A3E2-4930-9284-E4B9870D5283}" name="Hotels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7EB0C01-5F15-469A-AE7C-88C6B0472B66}" name="tblRoomPricesTC" displayName="tblRoomPricesTC" ref="W23:Z31" totalsRowShown="0">
  <autoFilter ref="W23:Z31" xr:uid="{026AB4B0-F758-4172-9329-1D1C45E074AD}"/>
  <tableColumns count="4">
    <tableColumn id="1" xr3:uid="{9E9AB7F2-BF4A-46A8-9550-6A40B09C742A}" name="Code">
      <calculatedColumnFormula>tblRoomPricesTC[[#This Row],[Hotel]]&amp;", "&amp;tblRoomPricesTC[[#This Row],[Size]]</calculatedColumnFormula>
    </tableColumn>
    <tableColumn id="2" xr3:uid="{148606E5-347D-46CB-94DB-0A9B88C2C829}" name="Hotel"/>
    <tableColumn id="3" xr3:uid="{EC41FF47-E90F-4B80-BF66-5628A57D2392}" name="Size"/>
    <tableColumn id="4" xr3:uid="{13EBB691-D47B-47F2-B499-A198F473D892}" name="Price" dataDxfId="16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3AC1F83-BBD6-424F-A1A2-4BC8ACD45637}" name="tblRoomPricesSunday" displayName="tblRoomPricesSunday" ref="W36:Z48" totalsRowShown="0">
  <autoFilter ref="W36:Z48" xr:uid="{51D57892-B195-4AD4-96BF-6E4C4E6753B8}"/>
  <tableColumns count="4">
    <tableColumn id="1" xr3:uid="{81CFB1F6-1102-44B5-B4E4-EC4B95A1D43C}" name="Code" dataDxfId="15">
      <calculatedColumnFormula>tblRoomPricesSunday[[#This Row],[Hotel]]&amp;", "&amp;tblRoomPricesSunday[[#This Row],[Size]]</calculatedColumnFormula>
    </tableColumn>
    <tableColumn id="2" xr3:uid="{A6AB64BC-1C41-4527-BC08-B5F8D1B2AE39}" name="Hotel"/>
    <tableColumn id="3" xr3:uid="{5AB114E4-9AB7-4AAB-ACE6-95E6BE02517C}" name="Size"/>
    <tableColumn id="4" xr3:uid="{C2AA9E8A-A340-4C8B-9081-80351EA4E603}" name="Price" dataDxfId="1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CDAD46-F575-4678-8C26-9DE31157499D}" name="tblHotelsEJO" displayName="tblHotelsEJO" ref="U18:U19" totalsRowShown="0">
  <autoFilter ref="U18:U19" xr:uid="{CCB2CCB2-034A-40BA-8998-D129D668F0C7}"/>
  <tableColumns count="1">
    <tableColumn id="1" xr3:uid="{274EBCE8-C8DC-4FF3-A5F5-2B9C0E4BA504}" name="HotelsEJO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838A9AD-FFE5-44C6-AE81-C72451C63ADD}" name="tblHotelsTC" displayName="tblHotelsTC" ref="U26:U29" totalsRowShown="0">
  <autoFilter ref="U26:U29" xr:uid="{460E3818-FE4B-4143-8486-E38CB0A1E3C3}"/>
  <tableColumns count="1">
    <tableColumn id="1" xr3:uid="{905AE1C0-253C-4B05-A967-7FDFD891E9BE}" name="HotelsTC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2DD49D0-15B1-4F2A-ACCF-E29B714A0428}" name="tblRoomTypes" displayName="tblRoomTypes" ref="S8:S12" totalsRowShown="0">
  <autoFilter ref="S8:S12" xr:uid="{D02FD877-AD14-43C1-A815-14A8E1CE55E9}"/>
  <tableColumns count="1">
    <tableColumn id="1" xr3:uid="{1347ADA2-BD41-4F39-AE37-968586480763}" name="RoomTypes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9249602-87B8-40D0-919A-2796D028692E}" name="tblMealTypesEJO" displayName="tblMealTypesEJO" ref="S15:S19" totalsRowShown="0">
  <autoFilter ref="S15:S19" xr:uid="{9CE4AB7B-F540-4855-9F64-5A09F3545281}"/>
  <tableColumns count="1">
    <tableColumn id="1" xr3:uid="{4F258516-80C2-4BDA-8B4C-B5746EAD3FC5}" name="MealTypesEJO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6B33115-FA09-4846-8D7B-4ECAB1DFA1F7}" name="tblMealTypesTC" displayName="tblMealTypesTC" ref="S22:S24" totalsRowShown="0">
  <autoFilter ref="S22:S24" xr:uid="{A2DB19A9-34A2-479B-BA63-0C81F926F5D7}"/>
  <tableColumns count="1">
    <tableColumn id="1" xr3:uid="{54BA8E1B-D5B9-4DEA-8955-75AE4FAD2D8E}" name="MealTypesTC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C1D7C3A-ED12-4125-9896-4331692F29F8}" name="tblArrivalDates" displayName="tblArrivalDates" ref="M2:M9" totalsRowShown="0">
  <autoFilter ref="M2:M9" xr:uid="{00000000-0009-0000-0100-000004000000}">
    <filterColumn colId="0" hiddenButton="1"/>
  </autoFilter>
  <tableColumns count="1">
    <tableColumn id="1" xr3:uid="{502D33B1-3C9F-4BB2-9334-1ABE8454B22E}" name="ArrivalDate" dataDxfId="29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B84379-E1FE-4F46-A296-6F7075983064}" name="tblMealPricesSunday" displayName="tblMealPricesSunday" ref="AB23:AE39">
  <autoFilter ref="AB23:AE39" xr:uid="{1444929F-BEE0-487F-AC15-F622055D0E91}"/>
  <tableColumns count="4">
    <tableColumn id="1" xr3:uid="{9C5F9FAA-6A15-45C1-81E3-97B0A6D582A2}" name="Code" totalsRowDxfId="13">
      <calculatedColumnFormula>tblMealPricesSunday[[#This Row],[Hotel]]&amp;", "&amp;tblMealPricesSunday[[#This Row],[Meal]]</calculatedColumnFormula>
    </tableColumn>
    <tableColumn id="3" xr3:uid="{F8ACC230-BB59-419F-ABFF-0098380A2A58}" name="Hotel" totalsRowFunction="custom" dataDxfId="12" totalsRowDxfId="11" dataCellStyle="Standard 2">
      <calculatedColumnFormula>X26</calculatedColumnFormula>
      <totalsRowFormula>#REF!</totalsRowFormula>
    </tableColumn>
    <tableColumn id="4" xr3:uid="{54871301-B9CE-4F2A-8CC4-C60E428ABE0F}" name="Meal" totalsRowLabel="BB" totalsRowDxfId="10" dataCellStyle="Standard 2"/>
    <tableColumn id="2" xr3:uid="{91E47BDD-7B70-49B7-838A-C1BB2BB8F9AE}" name="Price" dataDxfId="9" totalsRowDxfId="8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0FC31B-4910-417D-A496-2CD634F622A8}" name="tblMealPricesEJUTC" displayName="tblMealPricesEJUTC" ref="AB43:AE49">
  <autoFilter ref="AB43:AE49" xr:uid="{87FB859A-ED03-4CE7-AE37-3FB352D4A4A3}"/>
  <tableColumns count="4">
    <tableColumn id="1" xr3:uid="{BD5805D7-E4F3-4D62-9015-B48F3E4E7A90}" name="Code" totalsRowDxfId="7">
      <calculatedColumnFormula>tblMealPricesEJUTC[[#This Row],[Hotel]]&amp;", "&amp;tblMealPricesEJUTC[[#This Row],[Meal]]</calculatedColumnFormula>
    </tableColumn>
    <tableColumn id="3" xr3:uid="{7C22DB9E-0531-4593-B577-D754EFD9C85C}" name="Hotel" totalsRowFunction="custom" dataDxfId="6" totalsRowDxfId="5" dataCellStyle="Standard 2">
      <calculatedColumnFormula>X46</calculatedColumnFormula>
      <totalsRowFormula>#REF!</totalsRowFormula>
    </tableColumn>
    <tableColumn id="4" xr3:uid="{DF2E0C04-2750-4A3D-96FC-296043F23677}" name="Meal" totalsRowLabel="BB" totalsRowDxfId="4" dataCellStyle="Standard 2"/>
    <tableColumn id="2" xr3:uid="{8AAB7622-C309-4117-B699-CA4845B10BF6}" name="Price" dataDxfId="3" totalsRowDxfId="2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04ABD7-BF19-439F-91F2-03D21DA35AD5}" name="tblDepartureDates" displayName="tblDepartureDates" ref="O2:O8" totalsRowShown="0">
  <autoFilter ref="O2:O8" xr:uid="{00000000-0009-0000-0100-000005000000}">
    <filterColumn colId="0" hiddenButton="1"/>
  </autoFilter>
  <tableColumns count="1">
    <tableColumn id="1" xr3:uid="{E88DFE3B-49D2-4E85-98F7-48680395F297}" name="DepartureDate" dataDxfId="1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9B0795-73D3-4FF2-AB60-FB41D65D0AB1}" name="tblTestDate" displayName="tblTestDate" ref="K2:K10" totalsRowShown="0" dataCellStyle="Standard 2">
  <autoFilter ref="K2:K10" xr:uid="{0D9B0795-73D3-4FF2-AB60-FB41D65D0AB1}"/>
  <tableColumns count="1">
    <tableColumn id="1" xr3:uid="{E7B70E62-187E-4316-8126-C4B5CCD78D71}" name="TestDate" dataDxfId="0" dataCellStyle="Standard 2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F14832-2137-485D-9513-9F75E3158DBA}" name="tblYesNo" displayName="tblYesNo" ref="S34:S36" totalsRowShown="0">
  <autoFilter ref="S34:S36" xr:uid="{BEF14832-2137-485D-9513-9F75E3158DBA}"/>
  <tableColumns count="1">
    <tableColumn id="1" xr3:uid="{ADD1FB4E-D6D3-40C9-BFD7-D141AF1EAFCD}" name="YesN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F98C098-3D03-4C88-8CE8-B0E07A7136C9}" name="tblTravelLocations" displayName="tblTravelLocations" ref="Q2:Q3" totalsRowShown="0">
  <autoFilter ref="Q2:Q3" xr:uid="{00000000-0009-0000-0100-000006000000}">
    <filterColumn colId="0" hiddenButton="1"/>
  </autoFilter>
  <tableColumns count="1">
    <tableColumn id="1" xr3:uid="{3EAB2DA4-3A0E-4140-9CAA-62558E6857C4}" name="TravelLocation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EFB6F0-DC6C-467B-907A-8E7D60869BA0}" name="tblTransferLocations" displayName="tblTransferLocations" ref="S2:S4" totalsRowShown="0">
  <autoFilter ref="S2:S4" xr:uid="{00000000-0009-0000-0100-000007000000}">
    <filterColumn colId="0" hiddenButton="1"/>
  </autoFilter>
  <tableColumns count="1">
    <tableColumn id="1" xr3:uid="{96951317-E5AF-48FC-A4B9-191881FCCFA9}" name="TransferLocation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854510-A223-4F6D-A5D8-6A421CBB360B}" name="tblRoomPrices" displayName="tblRoomPrices" ref="W2:Z9" totalsRowShown="0">
  <autoFilter ref="W2:Z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FF35C943-116D-473D-AA4A-70DE0AAE1689}" name="Code">
      <calculatedColumnFormula>tblRoomPrices[[#This Row],[Hotel]]&amp;", "&amp;tblRoomPrices[[#This Row],[Size]]</calculatedColumnFormula>
    </tableColumn>
    <tableColumn id="2" xr3:uid="{4F11EBA9-685C-4EB7-B640-2467861987E7}" name="Hotel"/>
    <tableColumn id="3" xr3:uid="{6F855F39-9CBE-4D07-A966-747FAC9C8077}" name="Size"/>
    <tableColumn id="4" xr3:uid="{5A45FF79-17D4-4959-A609-B1BEDE8D58DA}" name="Price" dataDxfId="2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157729-95BD-4145-87FC-F3E79ED61D5E}" name="tblMealPricesEJO" displayName="tblMealPricesEJO" ref="AB2:AE14">
  <autoFilter ref="AB2:AE1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6EDE4958-B56A-4195-98C3-DD9FFD57E988}" name="Code" totalsRowDxfId="27">
      <calculatedColumnFormula>tblMealPricesEJO[[#This Row],[Hotel]]&amp;", "&amp;tblMealPricesEJO[[#This Row],[Meal]]</calculatedColumnFormula>
    </tableColumn>
    <tableColumn id="3" xr3:uid="{735DF1B0-EDD9-4F1E-B7EB-C8F38C0B0871}" name="Hotel" totalsRowFunction="custom" dataDxfId="26" totalsRowDxfId="25" dataCellStyle="Standard 2">
      <calculatedColumnFormula>X5</calculatedColumnFormula>
      <totalsRowFormula>#REF!</totalsRowFormula>
    </tableColumn>
    <tableColumn id="4" xr3:uid="{248AE629-E8B0-43D7-AFBB-0FB9E91D8256}" name="Meal" totalsRowLabel="BB" totalsRowDxfId="24" dataCellStyle="Standard 2"/>
    <tableColumn id="2" xr3:uid="{5D95BE87-7730-4EE9-9BF8-849E1AE6F170}" name="Price" dataDxfId="23" totalsRowDxfId="2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6AA369-1B38-4575-A655-8759098ACADB}" name="tblAccommodationCosts" displayName="tblAccommodationCosts" ref="AK2:AO40" totalsRowShown="0">
  <autoFilter ref="AK2:AO40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D13918-8347-49FF-8FC7-94916EFF174D}" name="Code" dataDxfId="21">
      <calculatedColumnFormula>tblAccommodationCosts[[#This Row],[Hotel]]&amp;", "&amp;tblAccommodationCosts[[#This Row],[Size]]&amp;" / "&amp;tblAccommodationCosts[[#This Row],[Lodging]]</calculatedColumnFormula>
    </tableColumn>
    <tableColumn id="2" xr3:uid="{4739A06F-F225-43CA-94C8-A42DDCD1D1AC}" name="Hotel"/>
    <tableColumn id="4" xr3:uid="{6EAECB87-0C42-4E28-8295-E7CA46875F17}" name="Size"/>
    <tableColumn id="3" xr3:uid="{B9BAAD55-DA8D-42D6-BA2E-9FD555680953}" name="Lodging"/>
    <tableColumn id="5" xr3:uid="{70E7688A-8A4B-47A8-BEA3-F79F473E0940}" name="Price" dataDxfId="20">
      <calculatedColumnFormula>VLOOKUP(tblAccommodationCosts[[#This Row],[Hotel]]&amp;", "&amp;tblAccommodationCosts[[#This Row],[Size]],tblRoomPrices[],4,FALSE)+VLOOKUP(tblAccommodationCosts[[#This Row],[Hotel]]&amp;", "&amp;tblAccommodationCosts[[#This Row],[Lodging]],tblMealPricesEJO[],4,FALSE)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1C20D4C-597B-4FE0-B616-BF8E79DEEAAF}" name="tblLocomotionTypes" displayName="tblLocomotionTypes" ref="U2:U4" totalsRowShown="0">
  <autoFilter ref="U2:U4" xr:uid="{00000000-0009-0000-0100-00000D000000}">
    <filterColumn colId="0" hiddenButton="1"/>
  </autoFilter>
  <tableColumns count="1">
    <tableColumn id="1" xr3:uid="{C946AE03-0247-497B-8814-F86BDACF61A7}" name="LocomotionType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E19E197-875E-41FD-A5E8-9772B41C63ED}" name="tblRoomAndLodgings" displayName="tblRoomAndLodgings" ref="AG2:AI14" totalsRowShown="0">
  <autoFilter ref="AG2:AI14" xr:uid="{00000000-0009-0000-0100-00000E000000}">
    <filterColumn colId="0" hiddenButton="1"/>
    <filterColumn colId="1" hiddenButton="1"/>
    <filterColumn colId="2" hiddenButton="1"/>
  </autoFilter>
  <tableColumns count="3">
    <tableColumn id="1" xr3:uid="{F5080F55-409D-43C9-A41D-3935609800FF}" name="Code" dataDxfId="19">
      <calculatedColumnFormula>tblRoomAndLodgings[[#This Row],[Room]]&amp;" / "&amp;tblRoomAndLodgings[[#This Row],[Lodging]]</calculatedColumnFormula>
    </tableColumn>
    <tableColumn id="2" xr3:uid="{2A085AF5-1477-4E6D-9D35-37AEEB8CB25C}" name="Lodging"/>
    <tableColumn id="3" xr3:uid="{CD5FC47D-2D54-4BBF-BD83-28BACC87515A}" name="Room"/>
  </tableColumns>
  <tableStyleInfo name="TableStyleMedium7" showFirstColumn="0" showLastColumn="0" showRowStripes="1" showColumnStripes="0"/>
  <extLst>
    <ext xmlns:x14="http://schemas.microsoft.com/office/spreadsheetml/2009/9/main" uri="{504A1905-F514-4f6f-8877-14C23A59335A}">
      <x14:table altText="Hermann_Neuberger_Sportschu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4556-15EA-447B-84A4-E61E789B1A97}">
  <dimension ref="A1:AN50"/>
  <sheetViews>
    <sheetView tabSelected="1" zoomScaleNormal="100" workbookViewId="0">
      <pane xSplit="5" topLeftCell="F1" activePane="topRight" state="frozen"/>
      <selection pane="topRight" activeCell="D12" sqref="D12"/>
    </sheetView>
  </sheetViews>
  <sheetFormatPr baseColWidth="10" defaultColWidth="11.5" defaultRowHeight="15" x14ac:dyDescent="0.2"/>
  <cols>
    <col min="2" max="2" width="21.33203125" customWidth="1"/>
    <col min="3" max="3" width="14.5" customWidth="1"/>
    <col min="4" max="4" width="26.6640625" customWidth="1"/>
    <col min="5" max="5" width="12.5" bestFit="1" customWidth="1"/>
    <col min="10" max="10" width="13.1640625" customWidth="1"/>
    <col min="11" max="11" width="12.83203125" customWidth="1"/>
    <col min="12" max="12" width="15.1640625" customWidth="1"/>
    <col min="14" max="14" width="13.5" bestFit="1" customWidth="1"/>
    <col min="15" max="15" width="16.5" customWidth="1"/>
    <col min="17" max="17" width="15.83203125" customWidth="1"/>
    <col min="19" max="19" width="13.5" bestFit="1" customWidth="1"/>
    <col min="20" max="20" width="15.5" customWidth="1"/>
    <col min="21" max="21" width="11.6640625" customWidth="1"/>
    <col min="22" max="22" width="14.1640625" customWidth="1"/>
    <col min="23" max="23" width="13.33203125" customWidth="1"/>
    <col min="24" max="31" width="15.5" customWidth="1"/>
    <col min="32" max="34" width="12.5" customWidth="1"/>
    <col min="35" max="35" width="13.5" style="25" customWidth="1"/>
    <col min="36" max="36" width="12.5" style="25" hidden="1" customWidth="1"/>
    <col min="37" max="37" width="12.1640625" style="25" hidden="1" customWidth="1"/>
    <col min="38" max="38" width="11.5" style="25" hidden="1" customWidth="1"/>
    <col min="39" max="39" width="13.33203125" style="25" hidden="1" customWidth="1"/>
    <col min="40" max="47" width="0" hidden="1" customWidth="1"/>
  </cols>
  <sheetData>
    <row r="1" spans="1:34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16" thickBot="1" x14ac:dyDescent="0.25"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6" x14ac:dyDescent="0.2">
      <c r="A4" s="34"/>
      <c r="B4" s="35" t="s">
        <v>95</v>
      </c>
      <c r="C4" s="145"/>
      <c r="D4" s="146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15" customHeight="1" x14ac:dyDescent="0.2">
      <c r="A5" s="168" t="s">
        <v>96</v>
      </c>
      <c r="B5" s="169"/>
      <c r="C5" s="162"/>
      <c r="D5" s="163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ht="15" customHeight="1" thickBot="1" x14ac:dyDescent="0.25">
      <c r="A6" s="170" t="s">
        <v>155</v>
      </c>
      <c r="B6" s="171"/>
      <c r="C6" s="172"/>
      <c r="D6" s="173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17" thickBot="1" x14ac:dyDescent="0.25">
      <c r="A7" s="28"/>
      <c r="B7" s="37"/>
      <c r="C7" s="37"/>
      <c r="D7" s="37"/>
      <c r="E7" s="28"/>
      <c r="F7" s="164" t="s">
        <v>156</v>
      </c>
      <c r="G7" s="165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34" ht="16" x14ac:dyDescent="0.2">
      <c r="A8" s="28"/>
      <c r="B8" s="37"/>
      <c r="C8" s="28"/>
      <c r="D8" s="28"/>
      <c r="E8" s="28"/>
      <c r="F8" s="166" t="s">
        <v>137</v>
      </c>
      <c r="G8" s="16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4" ht="16.5" customHeight="1" x14ac:dyDescent="0.2">
      <c r="A9" s="28"/>
      <c r="B9" s="28"/>
      <c r="C9" s="156" t="s">
        <v>120</v>
      </c>
      <c r="D9" s="156"/>
      <c r="E9" s="28"/>
      <c r="F9" s="119" t="s">
        <v>56</v>
      </c>
      <c r="G9" s="29" t="s">
        <v>59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34" ht="16.25" customHeight="1" thickBot="1" x14ac:dyDescent="0.25">
      <c r="A10" s="28"/>
      <c r="B10" s="28"/>
      <c r="C10" s="156"/>
      <c r="D10" s="156"/>
      <c r="E10" s="28"/>
      <c r="F10" s="120">
        <v>150</v>
      </c>
      <c r="G10" s="31">
        <v>115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4" ht="16" thickBo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7" thickBot="1" x14ac:dyDescent="0.25">
      <c r="A12" s="28"/>
      <c r="B12" s="28"/>
      <c r="C12" s="36" t="s">
        <v>69</v>
      </c>
      <c r="D12" s="33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66" t="s">
        <v>137</v>
      </c>
      <c r="Y12" s="167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4" ht="1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119" t="s">
        <v>56</v>
      </c>
      <c r="Y13" s="29" t="s">
        <v>59</v>
      </c>
      <c r="Z13" s="25"/>
      <c r="AA13" s="25"/>
      <c r="AB13" s="25"/>
      <c r="AC13" s="25"/>
      <c r="AD13" s="25"/>
      <c r="AE13" s="25"/>
      <c r="AF13" s="25"/>
      <c r="AG13" s="25"/>
      <c r="AH13" s="25"/>
    </row>
    <row r="14" spans="1:34" ht="15" customHeight="1" thickBot="1" x14ac:dyDescent="0.25">
      <c r="A14" s="28"/>
      <c r="B14" s="37"/>
      <c r="C14" s="37"/>
      <c r="D14" s="3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120">
        <v>150</v>
      </c>
      <c r="Y14" s="31">
        <v>115</v>
      </c>
      <c r="Z14" s="25"/>
      <c r="AA14" s="25"/>
      <c r="AB14" s="25"/>
      <c r="AC14" s="25"/>
      <c r="AD14" s="25"/>
      <c r="AE14" s="25"/>
      <c r="AF14" s="25"/>
      <c r="AG14" s="29" t="s">
        <v>146</v>
      </c>
      <c r="AH14" s="25"/>
    </row>
    <row r="15" spans="1:34" ht="15" customHeight="1" thickBot="1" x14ac:dyDescent="0.25">
      <c r="A15" s="28"/>
      <c r="B15" s="37"/>
      <c r="C15" s="28"/>
      <c r="D15" s="28"/>
      <c r="E15" s="28"/>
      <c r="F15" s="28"/>
      <c r="G15" s="28"/>
      <c r="H15" s="28"/>
      <c r="I15" s="28"/>
      <c r="J15" s="30"/>
      <c r="K15" s="30"/>
      <c r="L15" s="143" t="s">
        <v>159</v>
      </c>
      <c r="M15" s="144">
        <v>0.70833333333333337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5"/>
      <c r="Z15" s="25"/>
      <c r="AA15" s="25"/>
      <c r="AB15" s="25"/>
      <c r="AC15" s="25"/>
      <c r="AD15" s="25"/>
      <c r="AE15" s="25"/>
      <c r="AF15" s="25"/>
      <c r="AG15" s="31">
        <v>100</v>
      </c>
      <c r="AH15" s="25"/>
    </row>
    <row r="16" spans="1:34" ht="15.5" customHeight="1" x14ac:dyDescent="0.2">
      <c r="B16" s="28"/>
      <c r="C16" s="115" t="s">
        <v>136</v>
      </c>
      <c r="D16" s="3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32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5"/>
      <c r="AE16" s="25"/>
      <c r="AF16" s="25"/>
      <c r="AG16" s="28"/>
      <c r="AH16" s="28"/>
    </row>
    <row r="17" spans="1:40" ht="15" customHeight="1" thickBo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40" ht="16.25" customHeight="1" thickBot="1" x14ac:dyDescent="0.25">
      <c r="A18" s="28"/>
      <c r="B18" s="157" t="s">
        <v>4</v>
      </c>
      <c r="C18" s="158"/>
      <c r="D18" s="158"/>
      <c r="E18" s="158"/>
      <c r="F18" s="159" t="s">
        <v>5</v>
      </c>
      <c r="G18" s="160"/>
      <c r="H18" s="160"/>
      <c r="I18" s="160"/>
      <c r="J18" s="160"/>
      <c r="K18" s="161"/>
      <c r="L18" s="147" t="s">
        <v>2</v>
      </c>
      <c r="M18" s="148"/>
      <c r="N18" s="148"/>
      <c r="O18" s="148"/>
      <c r="P18" s="149"/>
      <c r="Q18" s="150" t="s">
        <v>3</v>
      </c>
      <c r="R18" s="151"/>
      <c r="S18" s="151"/>
      <c r="T18" s="151"/>
      <c r="U18" s="152"/>
      <c r="V18" s="154" t="s">
        <v>6</v>
      </c>
      <c r="W18" s="155"/>
      <c r="X18" s="153"/>
      <c r="Y18" s="153"/>
      <c r="Z18" s="153"/>
      <c r="AA18" s="153"/>
      <c r="AB18" s="153"/>
      <c r="AC18" s="153"/>
      <c r="AD18" s="153"/>
      <c r="AE18" s="153"/>
      <c r="AF18" s="176" t="s">
        <v>140</v>
      </c>
      <c r="AG18" s="177"/>
      <c r="AH18" s="178"/>
      <c r="AI18" s="58" t="s">
        <v>94</v>
      </c>
      <c r="AJ18" s="174" t="s">
        <v>91</v>
      </c>
      <c r="AK18" s="175"/>
      <c r="AL18" s="175"/>
      <c r="AM18" s="175"/>
      <c r="AN18" s="124" t="s">
        <v>145</v>
      </c>
    </row>
    <row r="19" spans="1:40" ht="76.25" customHeight="1" thickBot="1" x14ac:dyDescent="0.3">
      <c r="A19" s="28"/>
      <c r="B19" s="39" t="s">
        <v>7</v>
      </c>
      <c r="C19" s="40" t="s">
        <v>8</v>
      </c>
      <c r="D19" s="41" t="s">
        <v>9</v>
      </c>
      <c r="E19" s="41" t="s">
        <v>10</v>
      </c>
      <c r="F19" s="42" t="s">
        <v>1</v>
      </c>
      <c r="G19" s="43" t="s">
        <v>11</v>
      </c>
      <c r="H19" s="43" t="s">
        <v>12</v>
      </c>
      <c r="I19" s="44" t="s">
        <v>13</v>
      </c>
      <c r="J19" s="44" t="s">
        <v>14</v>
      </c>
      <c r="K19" s="45" t="s">
        <v>15</v>
      </c>
      <c r="L19" s="46" t="s">
        <v>16</v>
      </c>
      <c r="M19" s="47" t="s">
        <v>17</v>
      </c>
      <c r="N19" s="47" t="s">
        <v>20</v>
      </c>
      <c r="O19" s="48" t="s">
        <v>18</v>
      </c>
      <c r="P19" s="49" t="s">
        <v>121</v>
      </c>
      <c r="Q19" s="50" t="s">
        <v>16</v>
      </c>
      <c r="R19" s="51" t="s">
        <v>17</v>
      </c>
      <c r="S19" s="52" t="s">
        <v>21</v>
      </c>
      <c r="T19" s="53" t="s">
        <v>19</v>
      </c>
      <c r="U19" s="54" t="s">
        <v>121</v>
      </c>
      <c r="V19" s="55" t="s">
        <v>22</v>
      </c>
      <c r="W19" s="56" t="s">
        <v>23</v>
      </c>
      <c r="X19" s="57">
        <f>Parameters!$M$3</f>
        <v>44445</v>
      </c>
      <c r="Y19" s="57">
        <f>Parameters!$M$4</f>
        <v>44446</v>
      </c>
      <c r="Z19" s="57">
        <f>Parameters!$M$5</f>
        <v>44447</v>
      </c>
      <c r="AA19" s="57">
        <f>Parameters!$M$6</f>
        <v>44448</v>
      </c>
      <c r="AB19" s="57">
        <f>Parameters!$M$7</f>
        <v>44449</v>
      </c>
      <c r="AC19" s="57">
        <f>Parameters!$M$8</f>
        <v>44450</v>
      </c>
      <c r="AD19" s="57">
        <f>Parameters!$M$9</f>
        <v>44451</v>
      </c>
      <c r="AE19" s="57">
        <f>AD19+1</f>
        <v>44452</v>
      </c>
      <c r="AF19" s="55" t="s">
        <v>141</v>
      </c>
      <c r="AG19" s="56" t="s">
        <v>142</v>
      </c>
      <c r="AH19" s="56" t="s">
        <v>143</v>
      </c>
      <c r="AI19" s="59">
        <f>SUM(AI20:AI49)</f>
        <v>0</v>
      </c>
      <c r="AJ19" s="60" t="s">
        <v>56</v>
      </c>
      <c r="AK19" s="60" t="s">
        <v>59</v>
      </c>
      <c r="AL19" s="122" t="s">
        <v>108</v>
      </c>
      <c r="AM19" s="60" t="s">
        <v>88</v>
      </c>
      <c r="AN19" s="125" t="s">
        <v>147</v>
      </c>
    </row>
    <row r="20" spans="1:40" x14ac:dyDescent="0.2">
      <c r="A20">
        <v>1</v>
      </c>
      <c r="B20" s="116"/>
      <c r="C20" s="117"/>
      <c r="D20" s="3"/>
      <c r="E20" s="4"/>
      <c r="F20" s="6"/>
      <c r="G20" s="2"/>
      <c r="H20" s="2"/>
      <c r="I20" s="2"/>
      <c r="J20" s="4"/>
      <c r="K20" s="7"/>
      <c r="L20" s="142"/>
      <c r="M20" s="9"/>
      <c r="N20" s="10"/>
      <c r="O20" s="2"/>
      <c r="P20" s="11"/>
      <c r="Q20" s="142"/>
      <c r="R20" s="9"/>
      <c r="S20" s="10"/>
      <c r="T20" s="2"/>
      <c r="U20" s="11"/>
      <c r="V20" s="6"/>
      <c r="W20" s="5"/>
      <c r="X20" s="121"/>
      <c r="Y20" s="121"/>
      <c r="Z20" s="121"/>
      <c r="AA20" s="121"/>
      <c r="AB20" s="121"/>
      <c r="AC20" s="121"/>
      <c r="AD20" s="121"/>
      <c r="AE20" s="121"/>
      <c r="AF20" s="8"/>
      <c r="AG20" s="8"/>
      <c r="AH20" s="8"/>
      <c r="AI20" s="61" t="str">
        <f>IF(ISBLANK(B20),"",SUM(AJ20:AL20,AN20))</f>
        <v/>
      </c>
      <c r="AJ20" s="123">
        <f>COUNTIF(X20:AE20,"Single")*$X$14</f>
        <v>0</v>
      </c>
      <c r="AK20" s="123">
        <f t="shared" ref="AK20:AK49" si="0">COUNTIF(X20:AE20,"Double")*$Y$14</f>
        <v>0</v>
      </c>
      <c r="AL20" s="123" t="str">
        <f t="shared" ref="AL20:AL49" si="1">IF(HotelEJO="Mama Shelter",COUNTIF(X20:AE20,"Triple")*$Z$14,"")</f>
        <v/>
      </c>
      <c r="AM20" s="63">
        <f t="shared" ref="AM20:AM49" si="2">Q20-L20</f>
        <v>0</v>
      </c>
      <c r="AN20" s="126">
        <f>COUNTA(AF20:AH20)*$AG$15</f>
        <v>0</v>
      </c>
    </row>
    <row r="21" spans="1:40" x14ac:dyDescent="0.2">
      <c r="A21">
        <v>2</v>
      </c>
      <c r="B21" s="116"/>
      <c r="C21" s="117"/>
      <c r="D21" s="3"/>
      <c r="E21" s="4"/>
      <c r="F21" s="6"/>
      <c r="G21" s="2"/>
      <c r="H21" s="2"/>
      <c r="I21" s="2"/>
      <c r="J21" s="4"/>
      <c r="K21" s="7"/>
      <c r="L21" s="142"/>
      <c r="M21" s="9"/>
      <c r="N21" s="10"/>
      <c r="O21" s="2"/>
      <c r="P21" s="11"/>
      <c r="Q21" s="142"/>
      <c r="R21" s="9"/>
      <c r="S21" s="10"/>
      <c r="T21" s="2"/>
      <c r="U21" s="11"/>
      <c r="V21" s="6"/>
      <c r="W21" s="5"/>
      <c r="X21" s="121"/>
      <c r="Y21" s="121"/>
      <c r="Z21" s="121"/>
      <c r="AA21" s="121"/>
      <c r="AB21" s="121"/>
      <c r="AC21" s="121"/>
      <c r="AD21" s="121"/>
      <c r="AE21" s="121"/>
      <c r="AF21" s="8"/>
      <c r="AG21" s="8"/>
      <c r="AH21" s="8"/>
      <c r="AI21" s="61" t="str">
        <f t="shared" ref="AI21:AI49" si="3">IF(ISBLANK(B21),"",SUM(AJ21:AL21,AN21))</f>
        <v/>
      </c>
      <c r="AJ21" s="123">
        <f t="shared" ref="AJ21:AJ49" si="4">COUNTIF(X21:AE21,"Single")*$X$14</f>
        <v>0</v>
      </c>
      <c r="AK21" s="123">
        <f t="shared" si="0"/>
        <v>0</v>
      </c>
      <c r="AL21" s="123" t="str">
        <f t="shared" si="1"/>
        <v/>
      </c>
      <c r="AM21" s="63">
        <f t="shared" si="2"/>
        <v>0</v>
      </c>
      <c r="AN21" s="126">
        <f t="shared" ref="AN21:AN49" si="5">COUNTA(AF21:AH21)*$AG$15</f>
        <v>0</v>
      </c>
    </row>
    <row r="22" spans="1:40" x14ac:dyDescent="0.2">
      <c r="A22">
        <v>3</v>
      </c>
      <c r="B22" s="116"/>
      <c r="C22" s="117"/>
      <c r="D22" s="3"/>
      <c r="E22" s="4"/>
      <c r="F22" s="6"/>
      <c r="G22" s="2"/>
      <c r="H22" s="2"/>
      <c r="I22" s="2"/>
      <c r="J22" s="4"/>
      <c r="K22" s="7"/>
      <c r="L22" s="142"/>
      <c r="M22" s="9"/>
      <c r="N22" s="10"/>
      <c r="O22" s="2"/>
      <c r="P22" s="11"/>
      <c r="Q22" s="142"/>
      <c r="R22" s="9"/>
      <c r="S22" s="10"/>
      <c r="T22" s="2"/>
      <c r="U22" s="11"/>
      <c r="V22" s="6"/>
      <c r="W22" s="5"/>
      <c r="X22" s="121"/>
      <c r="Y22" s="121"/>
      <c r="Z22" s="121"/>
      <c r="AA22" s="121"/>
      <c r="AB22" s="121"/>
      <c r="AC22" s="121"/>
      <c r="AD22" s="121"/>
      <c r="AE22" s="121"/>
      <c r="AF22" s="8"/>
      <c r="AG22" s="8"/>
      <c r="AH22" s="8"/>
      <c r="AI22" s="61" t="str">
        <f t="shared" si="3"/>
        <v/>
      </c>
      <c r="AJ22" s="123">
        <f t="shared" si="4"/>
        <v>0</v>
      </c>
      <c r="AK22" s="123">
        <f t="shared" si="0"/>
        <v>0</v>
      </c>
      <c r="AL22" s="123" t="str">
        <f t="shared" si="1"/>
        <v/>
      </c>
      <c r="AM22" s="63">
        <f t="shared" si="2"/>
        <v>0</v>
      </c>
      <c r="AN22" s="126">
        <f t="shared" si="5"/>
        <v>0</v>
      </c>
    </row>
    <row r="23" spans="1:40" x14ac:dyDescent="0.2">
      <c r="A23">
        <v>4</v>
      </c>
      <c r="B23" s="116"/>
      <c r="C23" s="117"/>
      <c r="D23" s="3"/>
      <c r="E23" s="4"/>
      <c r="F23" s="6"/>
      <c r="G23" s="2"/>
      <c r="H23" s="2"/>
      <c r="I23" s="2"/>
      <c r="J23" s="4"/>
      <c r="K23" s="7"/>
      <c r="L23" s="142"/>
      <c r="M23" s="9"/>
      <c r="N23" s="10"/>
      <c r="O23" s="2"/>
      <c r="P23" s="11"/>
      <c r="Q23" s="142"/>
      <c r="R23" s="9"/>
      <c r="S23" s="10"/>
      <c r="T23" s="2"/>
      <c r="U23" s="11"/>
      <c r="V23" s="6"/>
      <c r="W23" s="5"/>
      <c r="X23" s="121"/>
      <c r="Y23" s="121"/>
      <c r="Z23" s="121"/>
      <c r="AA23" s="121"/>
      <c r="AB23" s="121"/>
      <c r="AC23" s="121"/>
      <c r="AD23" s="121"/>
      <c r="AE23" s="121"/>
      <c r="AF23" s="8"/>
      <c r="AG23" s="8"/>
      <c r="AH23" s="8"/>
      <c r="AI23" s="61" t="str">
        <f t="shared" si="3"/>
        <v/>
      </c>
      <c r="AJ23" s="123">
        <f t="shared" si="4"/>
        <v>0</v>
      </c>
      <c r="AK23" s="123">
        <f t="shared" si="0"/>
        <v>0</v>
      </c>
      <c r="AL23" s="123" t="str">
        <f t="shared" si="1"/>
        <v/>
      </c>
      <c r="AM23" s="63">
        <f t="shared" si="2"/>
        <v>0</v>
      </c>
      <c r="AN23" s="126">
        <f t="shared" si="5"/>
        <v>0</v>
      </c>
    </row>
    <row r="24" spans="1:40" x14ac:dyDescent="0.2">
      <c r="A24">
        <v>5</v>
      </c>
      <c r="B24" s="116"/>
      <c r="C24" s="117"/>
      <c r="D24" s="3"/>
      <c r="E24" s="4"/>
      <c r="F24" s="6"/>
      <c r="G24" s="2"/>
      <c r="H24" s="2"/>
      <c r="I24" s="2"/>
      <c r="J24" s="4"/>
      <c r="K24" s="7"/>
      <c r="L24" s="142"/>
      <c r="M24" s="9"/>
      <c r="N24" s="10"/>
      <c r="O24" s="2"/>
      <c r="P24" s="11"/>
      <c r="Q24" s="142"/>
      <c r="R24" s="9"/>
      <c r="S24" s="10"/>
      <c r="T24" s="2"/>
      <c r="U24" s="11"/>
      <c r="V24" s="6"/>
      <c r="W24" s="5"/>
      <c r="X24" s="121"/>
      <c r="Y24" s="121"/>
      <c r="Z24" s="121"/>
      <c r="AA24" s="121"/>
      <c r="AB24" s="121"/>
      <c r="AC24" s="121"/>
      <c r="AD24" s="121"/>
      <c r="AE24" s="121"/>
      <c r="AF24" s="8"/>
      <c r="AG24" s="8"/>
      <c r="AH24" s="8"/>
      <c r="AI24" s="61" t="str">
        <f>IF(ISBLANK(B24),"",SUM(AJ24:AL24,AN24))</f>
        <v/>
      </c>
      <c r="AJ24" s="123">
        <f t="shared" si="4"/>
        <v>0</v>
      </c>
      <c r="AK24" s="123">
        <f t="shared" si="0"/>
        <v>0</v>
      </c>
      <c r="AL24" s="123" t="str">
        <f t="shared" si="1"/>
        <v/>
      </c>
      <c r="AM24" s="63">
        <f t="shared" si="2"/>
        <v>0</v>
      </c>
      <c r="AN24" s="126">
        <f t="shared" si="5"/>
        <v>0</v>
      </c>
    </row>
    <row r="25" spans="1:40" x14ac:dyDescent="0.2">
      <c r="A25">
        <v>6</v>
      </c>
      <c r="B25" s="116"/>
      <c r="C25" s="117"/>
      <c r="D25" s="3"/>
      <c r="E25" s="4"/>
      <c r="F25" s="6"/>
      <c r="G25" s="2"/>
      <c r="H25" s="2"/>
      <c r="I25" s="2"/>
      <c r="J25" s="4"/>
      <c r="K25" s="7"/>
      <c r="L25" s="142"/>
      <c r="M25" s="9"/>
      <c r="N25" s="10"/>
      <c r="O25" s="2"/>
      <c r="P25" s="11"/>
      <c r="Q25" s="142"/>
      <c r="R25" s="9"/>
      <c r="S25" s="10"/>
      <c r="T25" s="2"/>
      <c r="U25" s="11"/>
      <c r="V25" s="6"/>
      <c r="W25" s="5"/>
      <c r="X25" s="121"/>
      <c r="Y25" s="121"/>
      <c r="Z25" s="121"/>
      <c r="AA25" s="121"/>
      <c r="AB25" s="121"/>
      <c r="AC25" s="121"/>
      <c r="AD25" s="121"/>
      <c r="AE25" s="121"/>
      <c r="AF25" s="8"/>
      <c r="AG25" s="8"/>
      <c r="AH25" s="8"/>
      <c r="AI25" s="61" t="str">
        <f t="shared" si="3"/>
        <v/>
      </c>
      <c r="AJ25" s="123">
        <f t="shared" si="4"/>
        <v>0</v>
      </c>
      <c r="AK25" s="123">
        <f t="shared" si="0"/>
        <v>0</v>
      </c>
      <c r="AL25" s="123" t="str">
        <f t="shared" si="1"/>
        <v/>
      </c>
      <c r="AM25" s="63">
        <f t="shared" si="2"/>
        <v>0</v>
      </c>
      <c r="AN25" s="126">
        <f t="shared" si="5"/>
        <v>0</v>
      </c>
    </row>
    <row r="26" spans="1:40" x14ac:dyDescent="0.2">
      <c r="A26">
        <v>7</v>
      </c>
      <c r="B26" s="116"/>
      <c r="C26" s="117"/>
      <c r="D26" s="3"/>
      <c r="E26" s="4"/>
      <c r="F26" s="6"/>
      <c r="G26" s="2"/>
      <c r="H26" s="2"/>
      <c r="I26" s="2"/>
      <c r="J26" s="4"/>
      <c r="K26" s="7"/>
      <c r="L26" s="142"/>
      <c r="M26" s="9"/>
      <c r="N26" s="10"/>
      <c r="O26" s="2"/>
      <c r="P26" s="11"/>
      <c r="Q26" s="142"/>
      <c r="R26" s="9"/>
      <c r="S26" s="10"/>
      <c r="T26" s="2"/>
      <c r="U26" s="11"/>
      <c r="V26" s="6"/>
      <c r="W26" s="5"/>
      <c r="X26" s="121"/>
      <c r="Y26" s="121"/>
      <c r="Z26" s="121"/>
      <c r="AA26" s="121"/>
      <c r="AB26" s="121"/>
      <c r="AC26" s="121"/>
      <c r="AD26" s="121"/>
      <c r="AE26" s="121"/>
      <c r="AF26" s="8"/>
      <c r="AG26" s="8"/>
      <c r="AH26" s="8"/>
      <c r="AI26" s="61" t="str">
        <f t="shared" si="3"/>
        <v/>
      </c>
      <c r="AJ26" s="123">
        <f t="shared" si="4"/>
        <v>0</v>
      </c>
      <c r="AK26" s="123">
        <f t="shared" si="0"/>
        <v>0</v>
      </c>
      <c r="AL26" s="123" t="str">
        <f t="shared" si="1"/>
        <v/>
      </c>
      <c r="AM26" s="63">
        <f t="shared" si="2"/>
        <v>0</v>
      </c>
      <c r="AN26" s="126">
        <f t="shared" si="5"/>
        <v>0</v>
      </c>
    </row>
    <row r="27" spans="1:40" x14ac:dyDescent="0.2">
      <c r="A27">
        <v>8</v>
      </c>
      <c r="B27" s="116"/>
      <c r="C27" s="117"/>
      <c r="D27" s="3"/>
      <c r="E27" s="4"/>
      <c r="F27" s="6"/>
      <c r="G27" s="2"/>
      <c r="H27" s="2"/>
      <c r="I27" s="2"/>
      <c r="J27" s="4"/>
      <c r="K27" s="7"/>
      <c r="L27" s="142"/>
      <c r="M27" s="9"/>
      <c r="N27" s="10"/>
      <c r="O27" s="2"/>
      <c r="P27" s="11"/>
      <c r="Q27" s="142"/>
      <c r="R27" s="9"/>
      <c r="S27" s="10"/>
      <c r="T27" s="2"/>
      <c r="U27" s="11"/>
      <c r="V27" s="6"/>
      <c r="W27" s="5"/>
      <c r="X27" s="121"/>
      <c r="Y27" s="121"/>
      <c r="Z27" s="121"/>
      <c r="AA27" s="121"/>
      <c r="AB27" s="121"/>
      <c r="AC27" s="121"/>
      <c r="AD27" s="121"/>
      <c r="AE27" s="121"/>
      <c r="AF27" s="8"/>
      <c r="AG27" s="8"/>
      <c r="AH27" s="8"/>
      <c r="AI27" s="61" t="str">
        <f t="shared" si="3"/>
        <v/>
      </c>
      <c r="AJ27" s="123">
        <f t="shared" si="4"/>
        <v>0</v>
      </c>
      <c r="AK27" s="123">
        <f t="shared" si="0"/>
        <v>0</v>
      </c>
      <c r="AL27" s="123" t="str">
        <f t="shared" si="1"/>
        <v/>
      </c>
      <c r="AM27" s="63">
        <f t="shared" si="2"/>
        <v>0</v>
      </c>
      <c r="AN27" s="126">
        <f t="shared" si="5"/>
        <v>0</v>
      </c>
    </row>
    <row r="28" spans="1:40" x14ac:dyDescent="0.2">
      <c r="A28">
        <v>9</v>
      </c>
      <c r="B28" s="116"/>
      <c r="C28" s="117"/>
      <c r="D28" s="3"/>
      <c r="E28" s="4"/>
      <c r="F28" s="6"/>
      <c r="G28" s="2"/>
      <c r="H28" s="2"/>
      <c r="I28" s="2"/>
      <c r="J28" s="4"/>
      <c r="K28" s="7"/>
      <c r="L28" s="142"/>
      <c r="M28" s="9"/>
      <c r="N28" s="10"/>
      <c r="O28" s="2"/>
      <c r="P28" s="11"/>
      <c r="Q28" s="142"/>
      <c r="R28" s="9"/>
      <c r="S28" s="10"/>
      <c r="T28" s="2"/>
      <c r="U28" s="11"/>
      <c r="V28" s="6"/>
      <c r="W28" s="5"/>
      <c r="X28" s="121"/>
      <c r="Y28" s="121"/>
      <c r="Z28" s="121"/>
      <c r="AA28" s="121"/>
      <c r="AB28" s="121"/>
      <c r="AC28" s="121"/>
      <c r="AD28" s="121"/>
      <c r="AE28" s="121"/>
      <c r="AF28" s="8"/>
      <c r="AG28" s="8"/>
      <c r="AH28" s="8"/>
      <c r="AI28" s="61" t="str">
        <f t="shared" si="3"/>
        <v/>
      </c>
      <c r="AJ28" s="123">
        <f t="shared" si="4"/>
        <v>0</v>
      </c>
      <c r="AK28" s="123">
        <f t="shared" si="0"/>
        <v>0</v>
      </c>
      <c r="AL28" s="123" t="str">
        <f t="shared" si="1"/>
        <v/>
      </c>
      <c r="AM28" s="63">
        <f t="shared" si="2"/>
        <v>0</v>
      </c>
      <c r="AN28" s="126">
        <f t="shared" si="5"/>
        <v>0</v>
      </c>
    </row>
    <row r="29" spans="1:40" x14ac:dyDescent="0.2">
      <c r="A29">
        <v>10</v>
      </c>
      <c r="B29" s="116"/>
      <c r="C29" s="117"/>
      <c r="D29" s="3"/>
      <c r="E29" s="4"/>
      <c r="F29" s="6"/>
      <c r="G29" s="2"/>
      <c r="H29" s="2"/>
      <c r="I29" s="2"/>
      <c r="J29" s="4"/>
      <c r="K29" s="7"/>
      <c r="L29" s="142"/>
      <c r="M29" s="9"/>
      <c r="N29" s="10"/>
      <c r="O29" s="2"/>
      <c r="P29" s="11"/>
      <c r="Q29" s="142"/>
      <c r="R29" s="9"/>
      <c r="S29" s="10"/>
      <c r="T29" s="2"/>
      <c r="U29" s="11"/>
      <c r="V29" s="6"/>
      <c r="W29" s="5"/>
      <c r="X29" s="121"/>
      <c r="Y29" s="121"/>
      <c r="Z29" s="121"/>
      <c r="AA29" s="121"/>
      <c r="AB29" s="121"/>
      <c r="AC29" s="121"/>
      <c r="AD29" s="121"/>
      <c r="AE29" s="121"/>
      <c r="AF29" s="8"/>
      <c r="AG29" s="8"/>
      <c r="AH29" s="8"/>
      <c r="AI29" s="61" t="str">
        <f t="shared" si="3"/>
        <v/>
      </c>
      <c r="AJ29" s="123">
        <f t="shared" si="4"/>
        <v>0</v>
      </c>
      <c r="AK29" s="123">
        <f t="shared" si="0"/>
        <v>0</v>
      </c>
      <c r="AL29" s="123" t="str">
        <f t="shared" si="1"/>
        <v/>
      </c>
      <c r="AM29" s="63">
        <f t="shared" si="2"/>
        <v>0</v>
      </c>
      <c r="AN29" s="126">
        <f t="shared" si="5"/>
        <v>0</v>
      </c>
    </row>
    <row r="30" spans="1:40" x14ac:dyDescent="0.2">
      <c r="A30">
        <v>11</v>
      </c>
      <c r="B30" s="116"/>
      <c r="C30" s="117"/>
      <c r="D30" s="3"/>
      <c r="E30" s="4"/>
      <c r="F30" s="6"/>
      <c r="G30" s="2"/>
      <c r="H30" s="2"/>
      <c r="I30" s="2"/>
      <c r="J30" s="4"/>
      <c r="K30" s="7"/>
      <c r="L30" s="142"/>
      <c r="M30" s="9"/>
      <c r="N30" s="10"/>
      <c r="O30" s="2"/>
      <c r="P30" s="11"/>
      <c r="Q30" s="142"/>
      <c r="R30" s="9"/>
      <c r="S30" s="10"/>
      <c r="T30" s="2"/>
      <c r="U30" s="11"/>
      <c r="V30" s="6"/>
      <c r="W30" s="5"/>
      <c r="X30" s="121"/>
      <c r="Y30" s="121"/>
      <c r="Z30" s="121"/>
      <c r="AA30" s="121"/>
      <c r="AB30" s="121"/>
      <c r="AC30" s="121"/>
      <c r="AD30" s="121"/>
      <c r="AE30" s="121"/>
      <c r="AF30" s="8"/>
      <c r="AG30" s="8"/>
      <c r="AH30" s="8"/>
      <c r="AI30" s="61" t="str">
        <f t="shared" si="3"/>
        <v/>
      </c>
      <c r="AJ30" s="123">
        <f t="shared" si="4"/>
        <v>0</v>
      </c>
      <c r="AK30" s="123">
        <f t="shared" si="0"/>
        <v>0</v>
      </c>
      <c r="AL30" s="123" t="str">
        <f t="shared" si="1"/>
        <v/>
      </c>
      <c r="AM30" s="63">
        <f t="shared" si="2"/>
        <v>0</v>
      </c>
      <c r="AN30" s="126">
        <f t="shared" si="5"/>
        <v>0</v>
      </c>
    </row>
    <row r="31" spans="1:40" x14ac:dyDescent="0.2">
      <c r="A31">
        <v>12</v>
      </c>
      <c r="B31" s="116"/>
      <c r="C31" s="117"/>
      <c r="D31" s="3"/>
      <c r="E31" s="4"/>
      <c r="F31" s="6"/>
      <c r="G31" s="2"/>
      <c r="H31" s="2"/>
      <c r="I31" s="2"/>
      <c r="J31" s="4"/>
      <c r="K31" s="7"/>
      <c r="L31" s="142"/>
      <c r="M31" s="9"/>
      <c r="N31" s="10"/>
      <c r="O31" s="2"/>
      <c r="P31" s="11"/>
      <c r="Q31" s="142"/>
      <c r="R31" s="9"/>
      <c r="S31" s="10"/>
      <c r="T31" s="2"/>
      <c r="U31" s="11"/>
      <c r="V31" s="6"/>
      <c r="W31" s="5"/>
      <c r="X31" s="121"/>
      <c r="Y31" s="121"/>
      <c r="Z31" s="121"/>
      <c r="AA31" s="121"/>
      <c r="AB31" s="121"/>
      <c r="AC31" s="121"/>
      <c r="AD31" s="121"/>
      <c r="AE31" s="121"/>
      <c r="AF31" s="8"/>
      <c r="AG31" s="8"/>
      <c r="AH31" s="8"/>
      <c r="AI31" s="61" t="str">
        <f t="shared" si="3"/>
        <v/>
      </c>
      <c r="AJ31" s="123">
        <f t="shared" si="4"/>
        <v>0</v>
      </c>
      <c r="AK31" s="123">
        <f t="shared" si="0"/>
        <v>0</v>
      </c>
      <c r="AL31" s="123" t="str">
        <f t="shared" si="1"/>
        <v/>
      </c>
      <c r="AM31" s="63">
        <f t="shared" si="2"/>
        <v>0</v>
      </c>
      <c r="AN31" s="126">
        <f t="shared" si="5"/>
        <v>0</v>
      </c>
    </row>
    <row r="32" spans="1:40" x14ac:dyDescent="0.2">
      <c r="A32">
        <v>13</v>
      </c>
      <c r="B32" s="116"/>
      <c r="C32" s="117"/>
      <c r="D32" s="3"/>
      <c r="E32" s="4"/>
      <c r="F32" s="6"/>
      <c r="G32" s="2"/>
      <c r="H32" s="2"/>
      <c r="I32" s="2"/>
      <c r="J32" s="4"/>
      <c r="K32" s="7"/>
      <c r="L32" s="142"/>
      <c r="M32" s="9"/>
      <c r="N32" s="10"/>
      <c r="O32" s="2"/>
      <c r="P32" s="11"/>
      <c r="Q32" s="142"/>
      <c r="R32" s="9"/>
      <c r="S32" s="10"/>
      <c r="T32" s="2"/>
      <c r="U32" s="11"/>
      <c r="V32" s="6"/>
      <c r="W32" s="5"/>
      <c r="X32" s="121"/>
      <c r="Y32" s="121"/>
      <c r="Z32" s="121"/>
      <c r="AA32" s="121"/>
      <c r="AB32" s="121"/>
      <c r="AC32" s="121"/>
      <c r="AD32" s="121"/>
      <c r="AE32" s="121"/>
      <c r="AF32" s="8"/>
      <c r="AG32" s="8"/>
      <c r="AH32" s="8"/>
      <c r="AI32" s="61" t="str">
        <f t="shared" si="3"/>
        <v/>
      </c>
      <c r="AJ32" s="123">
        <f t="shared" si="4"/>
        <v>0</v>
      </c>
      <c r="AK32" s="123">
        <f t="shared" si="0"/>
        <v>0</v>
      </c>
      <c r="AL32" s="123" t="str">
        <f t="shared" si="1"/>
        <v/>
      </c>
      <c r="AM32" s="63">
        <f t="shared" si="2"/>
        <v>0</v>
      </c>
      <c r="AN32" s="126">
        <f t="shared" si="5"/>
        <v>0</v>
      </c>
    </row>
    <row r="33" spans="1:40" x14ac:dyDescent="0.2">
      <c r="A33">
        <v>14</v>
      </c>
      <c r="B33" s="116"/>
      <c r="C33" s="117"/>
      <c r="D33" s="3"/>
      <c r="E33" s="4"/>
      <c r="F33" s="6"/>
      <c r="G33" s="2"/>
      <c r="H33" s="2"/>
      <c r="I33" s="2"/>
      <c r="J33" s="4"/>
      <c r="K33" s="7"/>
      <c r="L33" s="142"/>
      <c r="M33" s="9"/>
      <c r="N33" s="10"/>
      <c r="O33" s="2"/>
      <c r="P33" s="11"/>
      <c r="Q33" s="142"/>
      <c r="R33" s="9"/>
      <c r="S33" s="10"/>
      <c r="T33" s="2"/>
      <c r="U33" s="11"/>
      <c r="V33" s="6"/>
      <c r="W33" s="5"/>
      <c r="X33" s="121"/>
      <c r="Y33" s="121"/>
      <c r="Z33" s="121"/>
      <c r="AA33" s="121"/>
      <c r="AB33" s="121"/>
      <c r="AC33" s="121"/>
      <c r="AD33" s="121"/>
      <c r="AE33" s="121"/>
      <c r="AF33" s="8"/>
      <c r="AG33" s="8"/>
      <c r="AH33" s="8"/>
      <c r="AI33" s="61" t="str">
        <f t="shared" si="3"/>
        <v/>
      </c>
      <c r="AJ33" s="123">
        <f t="shared" si="4"/>
        <v>0</v>
      </c>
      <c r="AK33" s="123">
        <f t="shared" si="0"/>
        <v>0</v>
      </c>
      <c r="AL33" s="123" t="str">
        <f t="shared" si="1"/>
        <v/>
      </c>
      <c r="AM33" s="63">
        <f t="shared" si="2"/>
        <v>0</v>
      </c>
      <c r="AN33" s="126">
        <f t="shared" si="5"/>
        <v>0</v>
      </c>
    </row>
    <row r="34" spans="1:40" x14ac:dyDescent="0.2">
      <c r="A34">
        <v>15</v>
      </c>
      <c r="B34" s="116"/>
      <c r="C34" s="117"/>
      <c r="D34" s="3"/>
      <c r="E34" s="4"/>
      <c r="F34" s="6"/>
      <c r="G34" s="2"/>
      <c r="H34" s="2"/>
      <c r="I34" s="2"/>
      <c r="J34" s="4"/>
      <c r="K34" s="7"/>
      <c r="L34" s="142"/>
      <c r="M34" s="9"/>
      <c r="N34" s="10"/>
      <c r="O34" s="2"/>
      <c r="P34" s="11"/>
      <c r="Q34" s="142"/>
      <c r="R34" s="9"/>
      <c r="S34" s="10"/>
      <c r="T34" s="2"/>
      <c r="U34" s="11"/>
      <c r="V34" s="6"/>
      <c r="W34" s="5"/>
      <c r="X34" s="121"/>
      <c r="Y34" s="121"/>
      <c r="Z34" s="121"/>
      <c r="AA34" s="121"/>
      <c r="AB34" s="121"/>
      <c r="AC34" s="121"/>
      <c r="AD34" s="121"/>
      <c r="AE34" s="121"/>
      <c r="AF34" s="8"/>
      <c r="AG34" s="8"/>
      <c r="AH34" s="8"/>
      <c r="AI34" s="61" t="str">
        <f t="shared" si="3"/>
        <v/>
      </c>
      <c r="AJ34" s="123">
        <f t="shared" si="4"/>
        <v>0</v>
      </c>
      <c r="AK34" s="123">
        <f t="shared" si="0"/>
        <v>0</v>
      </c>
      <c r="AL34" s="123" t="str">
        <f t="shared" si="1"/>
        <v/>
      </c>
      <c r="AM34" s="63">
        <f t="shared" si="2"/>
        <v>0</v>
      </c>
      <c r="AN34" s="126">
        <f t="shared" si="5"/>
        <v>0</v>
      </c>
    </row>
    <row r="35" spans="1:40" x14ac:dyDescent="0.2">
      <c r="A35">
        <v>16</v>
      </c>
      <c r="B35" s="116"/>
      <c r="C35" s="117"/>
      <c r="D35" s="3"/>
      <c r="E35" s="4"/>
      <c r="F35" s="6"/>
      <c r="G35" s="2"/>
      <c r="H35" s="2"/>
      <c r="I35" s="2"/>
      <c r="J35" s="4"/>
      <c r="K35" s="7"/>
      <c r="L35" s="142"/>
      <c r="M35" s="9"/>
      <c r="N35" s="10"/>
      <c r="O35" s="2"/>
      <c r="P35" s="11"/>
      <c r="Q35" s="142"/>
      <c r="R35" s="9"/>
      <c r="S35" s="10"/>
      <c r="T35" s="2"/>
      <c r="U35" s="11"/>
      <c r="V35" s="6"/>
      <c r="W35" s="5"/>
      <c r="X35" s="121"/>
      <c r="Y35" s="121"/>
      <c r="Z35" s="121"/>
      <c r="AA35" s="121"/>
      <c r="AB35" s="121"/>
      <c r="AC35" s="121"/>
      <c r="AD35" s="121"/>
      <c r="AE35" s="121"/>
      <c r="AF35" s="8"/>
      <c r="AG35" s="8"/>
      <c r="AH35" s="8"/>
      <c r="AI35" s="61" t="str">
        <f t="shared" si="3"/>
        <v/>
      </c>
      <c r="AJ35" s="123">
        <f t="shared" si="4"/>
        <v>0</v>
      </c>
      <c r="AK35" s="123">
        <f t="shared" si="0"/>
        <v>0</v>
      </c>
      <c r="AL35" s="123" t="str">
        <f t="shared" si="1"/>
        <v/>
      </c>
      <c r="AM35" s="63">
        <f t="shared" si="2"/>
        <v>0</v>
      </c>
      <c r="AN35" s="126">
        <f t="shared" si="5"/>
        <v>0</v>
      </c>
    </row>
    <row r="36" spans="1:40" x14ac:dyDescent="0.2">
      <c r="A36">
        <v>17</v>
      </c>
      <c r="B36" s="116"/>
      <c r="C36" s="117"/>
      <c r="D36" s="3"/>
      <c r="E36" s="4"/>
      <c r="F36" s="6"/>
      <c r="G36" s="2"/>
      <c r="H36" s="2"/>
      <c r="I36" s="2"/>
      <c r="J36" s="4"/>
      <c r="K36" s="7"/>
      <c r="L36" s="142"/>
      <c r="M36" s="9"/>
      <c r="N36" s="10"/>
      <c r="O36" s="2"/>
      <c r="P36" s="11"/>
      <c r="Q36" s="142"/>
      <c r="R36" s="9"/>
      <c r="S36" s="10"/>
      <c r="T36" s="2"/>
      <c r="U36" s="11"/>
      <c r="V36" s="6"/>
      <c r="W36" s="5"/>
      <c r="X36" s="121"/>
      <c r="Y36" s="121"/>
      <c r="Z36" s="121"/>
      <c r="AA36" s="121"/>
      <c r="AB36" s="121"/>
      <c r="AC36" s="121"/>
      <c r="AD36" s="121"/>
      <c r="AE36" s="121"/>
      <c r="AF36" s="8"/>
      <c r="AG36" s="8"/>
      <c r="AH36" s="8"/>
      <c r="AI36" s="61" t="str">
        <f t="shared" si="3"/>
        <v/>
      </c>
      <c r="AJ36" s="123">
        <f t="shared" si="4"/>
        <v>0</v>
      </c>
      <c r="AK36" s="123">
        <f t="shared" si="0"/>
        <v>0</v>
      </c>
      <c r="AL36" s="123" t="str">
        <f t="shared" si="1"/>
        <v/>
      </c>
      <c r="AM36" s="63">
        <f t="shared" si="2"/>
        <v>0</v>
      </c>
      <c r="AN36" s="126">
        <f t="shared" si="5"/>
        <v>0</v>
      </c>
    </row>
    <row r="37" spans="1:40" x14ac:dyDescent="0.2">
      <c r="A37">
        <v>18</v>
      </c>
      <c r="B37" s="116"/>
      <c r="C37" s="117"/>
      <c r="D37" s="3"/>
      <c r="E37" s="4"/>
      <c r="F37" s="6"/>
      <c r="G37" s="2"/>
      <c r="H37" s="2"/>
      <c r="I37" s="2"/>
      <c r="J37" s="4"/>
      <c r="K37" s="7"/>
      <c r="L37" s="142"/>
      <c r="M37" s="9"/>
      <c r="N37" s="10"/>
      <c r="O37" s="2"/>
      <c r="P37" s="11"/>
      <c r="Q37" s="142"/>
      <c r="R37" s="9"/>
      <c r="S37" s="10"/>
      <c r="T37" s="2"/>
      <c r="U37" s="11"/>
      <c r="V37" s="6"/>
      <c r="W37" s="5"/>
      <c r="X37" s="121"/>
      <c r="Y37" s="121"/>
      <c r="Z37" s="121"/>
      <c r="AA37" s="121"/>
      <c r="AB37" s="121"/>
      <c r="AC37" s="121"/>
      <c r="AD37" s="121"/>
      <c r="AE37" s="121"/>
      <c r="AF37" s="8"/>
      <c r="AG37" s="8"/>
      <c r="AH37" s="8"/>
      <c r="AI37" s="61" t="str">
        <f t="shared" si="3"/>
        <v/>
      </c>
      <c r="AJ37" s="123">
        <f t="shared" si="4"/>
        <v>0</v>
      </c>
      <c r="AK37" s="123">
        <f t="shared" si="0"/>
        <v>0</v>
      </c>
      <c r="AL37" s="123" t="str">
        <f t="shared" si="1"/>
        <v/>
      </c>
      <c r="AM37" s="63">
        <f t="shared" si="2"/>
        <v>0</v>
      </c>
      <c r="AN37" s="126">
        <f t="shared" si="5"/>
        <v>0</v>
      </c>
    </row>
    <row r="38" spans="1:40" x14ac:dyDescent="0.2">
      <c r="A38">
        <v>19</v>
      </c>
      <c r="B38" s="116"/>
      <c r="C38" s="117"/>
      <c r="D38" s="3"/>
      <c r="E38" s="4"/>
      <c r="F38" s="6"/>
      <c r="G38" s="2"/>
      <c r="H38" s="2"/>
      <c r="I38" s="2"/>
      <c r="J38" s="4"/>
      <c r="K38" s="7"/>
      <c r="L38" s="142"/>
      <c r="M38" s="9"/>
      <c r="N38" s="10"/>
      <c r="O38" s="2"/>
      <c r="P38" s="11"/>
      <c r="Q38" s="142"/>
      <c r="R38" s="9"/>
      <c r="S38" s="10"/>
      <c r="T38" s="2"/>
      <c r="U38" s="11"/>
      <c r="V38" s="6"/>
      <c r="W38" s="5"/>
      <c r="X38" s="121"/>
      <c r="Y38" s="121"/>
      <c r="Z38" s="121"/>
      <c r="AA38" s="121"/>
      <c r="AB38" s="121"/>
      <c r="AC38" s="121"/>
      <c r="AD38" s="121"/>
      <c r="AE38" s="121"/>
      <c r="AF38" s="8"/>
      <c r="AG38" s="8"/>
      <c r="AH38" s="8"/>
      <c r="AI38" s="61" t="str">
        <f t="shared" si="3"/>
        <v/>
      </c>
      <c r="AJ38" s="123">
        <f t="shared" si="4"/>
        <v>0</v>
      </c>
      <c r="AK38" s="123">
        <f t="shared" si="0"/>
        <v>0</v>
      </c>
      <c r="AL38" s="123" t="str">
        <f t="shared" si="1"/>
        <v/>
      </c>
      <c r="AM38" s="63">
        <f t="shared" si="2"/>
        <v>0</v>
      </c>
      <c r="AN38" s="126">
        <f t="shared" si="5"/>
        <v>0</v>
      </c>
    </row>
    <row r="39" spans="1:40" x14ac:dyDescent="0.2">
      <c r="A39">
        <v>20</v>
      </c>
      <c r="B39" s="116"/>
      <c r="C39" s="117"/>
      <c r="D39" s="3"/>
      <c r="E39" s="4"/>
      <c r="F39" s="6"/>
      <c r="G39" s="2"/>
      <c r="H39" s="2"/>
      <c r="I39" s="2"/>
      <c r="J39" s="4"/>
      <c r="K39" s="7"/>
      <c r="L39" s="142"/>
      <c r="M39" s="9"/>
      <c r="N39" s="10"/>
      <c r="O39" s="2"/>
      <c r="P39" s="11"/>
      <c r="Q39" s="142"/>
      <c r="R39" s="9"/>
      <c r="S39" s="10"/>
      <c r="T39" s="2"/>
      <c r="U39" s="11"/>
      <c r="V39" s="6"/>
      <c r="W39" s="5"/>
      <c r="X39" s="121"/>
      <c r="Y39" s="121"/>
      <c r="Z39" s="121"/>
      <c r="AA39" s="121"/>
      <c r="AB39" s="121"/>
      <c r="AC39" s="121"/>
      <c r="AD39" s="121"/>
      <c r="AE39" s="121"/>
      <c r="AF39" s="8"/>
      <c r="AG39" s="8"/>
      <c r="AH39" s="8"/>
      <c r="AI39" s="61" t="str">
        <f t="shared" si="3"/>
        <v/>
      </c>
      <c r="AJ39" s="123">
        <f t="shared" si="4"/>
        <v>0</v>
      </c>
      <c r="AK39" s="123">
        <f t="shared" si="0"/>
        <v>0</v>
      </c>
      <c r="AL39" s="123" t="str">
        <f t="shared" si="1"/>
        <v/>
      </c>
      <c r="AM39" s="63">
        <f t="shared" si="2"/>
        <v>0</v>
      </c>
      <c r="AN39" s="126">
        <f t="shared" si="5"/>
        <v>0</v>
      </c>
    </row>
    <row r="40" spans="1:40" x14ac:dyDescent="0.2">
      <c r="A40">
        <v>21</v>
      </c>
      <c r="B40" s="116"/>
      <c r="C40" s="117"/>
      <c r="D40" s="3"/>
      <c r="E40" s="4"/>
      <c r="F40" s="6"/>
      <c r="G40" s="2"/>
      <c r="H40" s="2"/>
      <c r="I40" s="2"/>
      <c r="J40" s="4"/>
      <c r="K40" s="7"/>
      <c r="L40" s="142"/>
      <c r="M40" s="9"/>
      <c r="N40" s="10"/>
      <c r="O40" s="2"/>
      <c r="P40" s="11"/>
      <c r="Q40" s="142"/>
      <c r="R40" s="9"/>
      <c r="S40" s="10"/>
      <c r="T40" s="2"/>
      <c r="U40" s="11"/>
      <c r="V40" s="6"/>
      <c r="W40" s="5"/>
      <c r="X40" s="121"/>
      <c r="Y40" s="121"/>
      <c r="Z40" s="121"/>
      <c r="AA40" s="121"/>
      <c r="AB40" s="121"/>
      <c r="AC40" s="121"/>
      <c r="AD40" s="121"/>
      <c r="AE40" s="121"/>
      <c r="AF40" s="8"/>
      <c r="AG40" s="8"/>
      <c r="AH40" s="8"/>
      <c r="AI40" s="61" t="str">
        <f t="shared" si="3"/>
        <v/>
      </c>
      <c r="AJ40" s="123">
        <f t="shared" si="4"/>
        <v>0</v>
      </c>
      <c r="AK40" s="123">
        <f t="shared" si="0"/>
        <v>0</v>
      </c>
      <c r="AL40" s="123" t="str">
        <f t="shared" si="1"/>
        <v/>
      </c>
      <c r="AM40" s="63">
        <f t="shared" si="2"/>
        <v>0</v>
      </c>
      <c r="AN40" s="126">
        <f t="shared" si="5"/>
        <v>0</v>
      </c>
    </row>
    <row r="41" spans="1:40" x14ac:dyDescent="0.2">
      <c r="A41">
        <v>22</v>
      </c>
      <c r="B41" s="116"/>
      <c r="C41" s="117"/>
      <c r="D41" s="3"/>
      <c r="E41" s="4"/>
      <c r="F41" s="6"/>
      <c r="G41" s="2"/>
      <c r="H41" s="2"/>
      <c r="I41" s="2"/>
      <c r="J41" s="4"/>
      <c r="K41" s="7"/>
      <c r="L41" s="142"/>
      <c r="M41" s="9"/>
      <c r="N41" s="10"/>
      <c r="O41" s="2"/>
      <c r="P41" s="11"/>
      <c r="Q41" s="142"/>
      <c r="R41" s="9"/>
      <c r="S41" s="10"/>
      <c r="T41" s="2"/>
      <c r="U41" s="11"/>
      <c r="V41" s="6"/>
      <c r="W41" s="5"/>
      <c r="X41" s="121"/>
      <c r="Y41" s="121"/>
      <c r="Z41" s="121"/>
      <c r="AA41" s="121"/>
      <c r="AB41" s="121"/>
      <c r="AC41" s="121"/>
      <c r="AD41" s="121"/>
      <c r="AE41" s="121"/>
      <c r="AF41" s="8"/>
      <c r="AG41" s="8"/>
      <c r="AH41" s="8"/>
      <c r="AI41" s="61" t="str">
        <f t="shared" si="3"/>
        <v/>
      </c>
      <c r="AJ41" s="123">
        <f t="shared" si="4"/>
        <v>0</v>
      </c>
      <c r="AK41" s="123">
        <f t="shared" si="0"/>
        <v>0</v>
      </c>
      <c r="AL41" s="123" t="str">
        <f t="shared" si="1"/>
        <v/>
      </c>
      <c r="AM41" s="63">
        <f t="shared" si="2"/>
        <v>0</v>
      </c>
      <c r="AN41" s="126">
        <f t="shared" si="5"/>
        <v>0</v>
      </c>
    </row>
    <row r="42" spans="1:40" x14ac:dyDescent="0.2">
      <c r="A42">
        <v>23</v>
      </c>
      <c r="B42" s="116"/>
      <c r="C42" s="117"/>
      <c r="D42" s="3"/>
      <c r="E42" s="4"/>
      <c r="F42" s="6"/>
      <c r="G42" s="2"/>
      <c r="H42" s="2"/>
      <c r="I42" s="2"/>
      <c r="J42" s="4"/>
      <c r="K42" s="7"/>
      <c r="L42" s="142"/>
      <c r="M42" s="9"/>
      <c r="N42" s="10"/>
      <c r="O42" s="2"/>
      <c r="P42" s="11"/>
      <c r="Q42" s="142"/>
      <c r="R42" s="9"/>
      <c r="S42" s="10"/>
      <c r="T42" s="2"/>
      <c r="U42" s="11"/>
      <c r="V42" s="6"/>
      <c r="W42" s="5"/>
      <c r="X42" s="121"/>
      <c r="Y42" s="121"/>
      <c r="Z42" s="121"/>
      <c r="AA42" s="121"/>
      <c r="AB42" s="121"/>
      <c r="AC42" s="121"/>
      <c r="AD42" s="121"/>
      <c r="AE42" s="121"/>
      <c r="AF42" s="8"/>
      <c r="AG42" s="8"/>
      <c r="AH42" s="8"/>
      <c r="AI42" s="61" t="str">
        <f t="shared" si="3"/>
        <v/>
      </c>
      <c r="AJ42" s="123">
        <f t="shared" si="4"/>
        <v>0</v>
      </c>
      <c r="AK42" s="123">
        <f t="shared" si="0"/>
        <v>0</v>
      </c>
      <c r="AL42" s="123" t="str">
        <f t="shared" si="1"/>
        <v/>
      </c>
      <c r="AM42" s="63">
        <f t="shared" si="2"/>
        <v>0</v>
      </c>
      <c r="AN42" s="126">
        <f t="shared" si="5"/>
        <v>0</v>
      </c>
    </row>
    <row r="43" spans="1:40" x14ac:dyDescent="0.2">
      <c r="A43">
        <v>24</v>
      </c>
      <c r="B43" s="116"/>
      <c r="C43" s="117"/>
      <c r="D43" s="3"/>
      <c r="E43" s="4"/>
      <c r="F43" s="6"/>
      <c r="G43" s="2"/>
      <c r="H43" s="2"/>
      <c r="I43" s="2"/>
      <c r="J43" s="4"/>
      <c r="K43" s="7"/>
      <c r="L43" s="142"/>
      <c r="M43" s="9"/>
      <c r="N43" s="10"/>
      <c r="O43" s="2"/>
      <c r="P43" s="11"/>
      <c r="Q43" s="142"/>
      <c r="R43" s="9"/>
      <c r="S43" s="10"/>
      <c r="T43" s="2"/>
      <c r="U43" s="11"/>
      <c r="V43" s="6"/>
      <c r="W43" s="5"/>
      <c r="X43" s="121"/>
      <c r="Y43" s="121"/>
      <c r="Z43" s="121"/>
      <c r="AA43" s="121"/>
      <c r="AB43" s="121"/>
      <c r="AC43" s="121"/>
      <c r="AD43" s="121"/>
      <c r="AE43" s="121"/>
      <c r="AF43" s="8"/>
      <c r="AG43" s="8"/>
      <c r="AH43" s="8"/>
      <c r="AI43" s="61" t="str">
        <f t="shared" si="3"/>
        <v/>
      </c>
      <c r="AJ43" s="123">
        <f t="shared" si="4"/>
        <v>0</v>
      </c>
      <c r="AK43" s="123">
        <f t="shared" si="0"/>
        <v>0</v>
      </c>
      <c r="AL43" s="123" t="str">
        <f t="shared" si="1"/>
        <v/>
      </c>
      <c r="AM43" s="63">
        <f t="shared" si="2"/>
        <v>0</v>
      </c>
      <c r="AN43" s="126">
        <f t="shared" si="5"/>
        <v>0</v>
      </c>
    </row>
    <row r="44" spans="1:40" x14ac:dyDescent="0.2">
      <c r="A44">
        <v>25</v>
      </c>
      <c r="B44" s="116"/>
      <c r="C44" s="117"/>
      <c r="D44" s="3"/>
      <c r="E44" s="4"/>
      <c r="F44" s="6"/>
      <c r="G44" s="2"/>
      <c r="H44" s="2"/>
      <c r="I44" s="2"/>
      <c r="J44" s="4"/>
      <c r="K44" s="7"/>
      <c r="L44" s="142"/>
      <c r="M44" s="9"/>
      <c r="N44" s="10"/>
      <c r="O44" s="2"/>
      <c r="P44" s="11"/>
      <c r="Q44" s="142"/>
      <c r="R44" s="9"/>
      <c r="S44" s="10"/>
      <c r="T44" s="2"/>
      <c r="U44" s="11"/>
      <c r="V44" s="6"/>
      <c r="W44" s="5"/>
      <c r="X44" s="121"/>
      <c r="Y44" s="121"/>
      <c r="Z44" s="121"/>
      <c r="AA44" s="121"/>
      <c r="AB44" s="121"/>
      <c r="AC44" s="121"/>
      <c r="AD44" s="121"/>
      <c r="AE44" s="121"/>
      <c r="AF44" s="8"/>
      <c r="AG44" s="8"/>
      <c r="AH44" s="8"/>
      <c r="AI44" s="61" t="str">
        <f t="shared" si="3"/>
        <v/>
      </c>
      <c r="AJ44" s="123">
        <f t="shared" si="4"/>
        <v>0</v>
      </c>
      <c r="AK44" s="123">
        <f t="shared" si="0"/>
        <v>0</v>
      </c>
      <c r="AL44" s="123" t="str">
        <f t="shared" si="1"/>
        <v/>
      </c>
      <c r="AM44" s="63">
        <f t="shared" si="2"/>
        <v>0</v>
      </c>
      <c r="AN44" s="126">
        <f t="shared" si="5"/>
        <v>0</v>
      </c>
    </row>
    <row r="45" spans="1:40" x14ac:dyDescent="0.2">
      <c r="A45">
        <v>26</v>
      </c>
      <c r="B45" s="116"/>
      <c r="C45" s="117"/>
      <c r="D45" s="3"/>
      <c r="E45" s="4"/>
      <c r="F45" s="6"/>
      <c r="G45" s="2"/>
      <c r="H45" s="2"/>
      <c r="I45" s="2"/>
      <c r="J45" s="4"/>
      <c r="K45" s="7"/>
      <c r="L45" s="142"/>
      <c r="M45" s="9"/>
      <c r="N45" s="10"/>
      <c r="O45" s="2"/>
      <c r="P45" s="11"/>
      <c r="Q45" s="142"/>
      <c r="R45" s="9"/>
      <c r="S45" s="10"/>
      <c r="T45" s="2"/>
      <c r="U45" s="11"/>
      <c r="V45" s="6"/>
      <c r="W45" s="5"/>
      <c r="X45" s="121"/>
      <c r="Y45" s="121"/>
      <c r="Z45" s="121"/>
      <c r="AA45" s="121"/>
      <c r="AB45" s="121"/>
      <c r="AC45" s="121"/>
      <c r="AD45" s="121"/>
      <c r="AE45" s="121"/>
      <c r="AF45" s="8"/>
      <c r="AG45" s="8"/>
      <c r="AH45" s="8"/>
      <c r="AI45" s="61" t="str">
        <f t="shared" si="3"/>
        <v/>
      </c>
      <c r="AJ45" s="123">
        <f t="shared" si="4"/>
        <v>0</v>
      </c>
      <c r="AK45" s="123">
        <f t="shared" si="0"/>
        <v>0</v>
      </c>
      <c r="AL45" s="123" t="str">
        <f t="shared" si="1"/>
        <v/>
      </c>
      <c r="AM45" s="63">
        <f t="shared" si="2"/>
        <v>0</v>
      </c>
      <c r="AN45" s="126">
        <f t="shared" si="5"/>
        <v>0</v>
      </c>
    </row>
    <row r="46" spans="1:40" x14ac:dyDescent="0.2">
      <c r="A46">
        <v>27</v>
      </c>
      <c r="B46" s="1"/>
      <c r="C46" s="2"/>
      <c r="D46" s="3"/>
      <c r="E46" s="4"/>
      <c r="F46" s="6"/>
      <c r="G46" s="2"/>
      <c r="H46" s="2"/>
      <c r="I46" s="2"/>
      <c r="J46" s="4"/>
      <c r="K46" s="7"/>
      <c r="L46" s="142"/>
      <c r="M46" s="9"/>
      <c r="N46" s="10"/>
      <c r="O46" s="2"/>
      <c r="P46" s="11"/>
      <c r="Q46" s="142"/>
      <c r="R46" s="9"/>
      <c r="S46" s="10"/>
      <c r="T46" s="2"/>
      <c r="U46" s="11"/>
      <c r="V46" s="6"/>
      <c r="W46" s="5"/>
      <c r="X46" s="121"/>
      <c r="Y46" s="121"/>
      <c r="Z46" s="121"/>
      <c r="AA46" s="121"/>
      <c r="AB46" s="121"/>
      <c r="AC46" s="121"/>
      <c r="AD46" s="121"/>
      <c r="AE46" s="121"/>
      <c r="AF46" s="8"/>
      <c r="AG46" s="8"/>
      <c r="AH46" s="8"/>
      <c r="AI46" s="61" t="str">
        <f t="shared" si="3"/>
        <v/>
      </c>
      <c r="AJ46" s="123">
        <f t="shared" si="4"/>
        <v>0</v>
      </c>
      <c r="AK46" s="123">
        <f t="shared" si="0"/>
        <v>0</v>
      </c>
      <c r="AL46" s="123" t="str">
        <f t="shared" si="1"/>
        <v/>
      </c>
      <c r="AM46" s="63">
        <f t="shared" si="2"/>
        <v>0</v>
      </c>
      <c r="AN46" s="126">
        <f t="shared" si="5"/>
        <v>0</v>
      </c>
    </row>
    <row r="47" spans="1:40" x14ac:dyDescent="0.2">
      <c r="A47">
        <v>28</v>
      </c>
      <c r="B47" s="1"/>
      <c r="C47" s="2"/>
      <c r="D47" s="3"/>
      <c r="E47" s="4"/>
      <c r="F47" s="6"/>
      <c r="G47" s="2"/>
      <c r="H47" s="2"/>
      <c r="I47" s="2"/>
      <c r="J47" s="4"/>
      <c r="K47" s="7"/>
      <c r="L47" s="142"/>
      <c r="M47" s="9"/>
      <c r="N47" s="10"/>
      <c r="O47" s="2"/>
      <c r="P47" s="11"/>
      <c r="Q47" s="142"/>
      <c r="R47" s="9"/>
      <c r="S47" s="10"/>
      <c r="T47" s="2"/>
      <c r="U47" s="11"/>
      <c r="V47" s="6"/>
      <c r="W47" s="5"/>
      <c r="X47" s="121"/>
      <c r="Y47" s="121"/>
      <c r="Z47" s="121"/>
      <c r="AA47" s="121"/>
      <c r="AB47" s="121"/>
      <c r="AC47" s="121"/>
      <c r="AD47" s="121"/>
      <c r="AE47" s="121"/>
      <c r="AF47" s="8"/>
      <c r="AG47" s="8"/>
      <c r="AH47" s="8"/>
      <c r="AI47" s="61" t="str">
        <f t="shared" si="3"/>
        <v/>
      </c>
      <c r="AJ47" s="123">
        <f t="shared" si="4"/>
        <v>0</v>
      </c>
      <c r="AK47" s="123">
        <f t="shared" si="0"/>
        <v>0</v>
      </c>
      <c r="AL47" s="123" t="str">
        <f t="shared" si="1"/>
        <v/>
      </c>
      <c r="AM47" s="63">
        <f t="shared" si="2"/>
        <v>0</v>
      </c>
      <c r="AN47" s="126">
        <f t="shared" si="5"/>
        <v>0</v>
      </c>
    </row>
    <row r="48" spans="1:40" x14ac:dyDescent="0.2">
      <c r="A48">
        <v>29</v>
      </c>
      <c r="B48" s="1"/>
      <c r="C48" s="2"/>
      <c r="D48" s="3"/>
      <c r="E48" s="4"/>
      <c r="F48" s="6"/>
      <c r="G48" s="2"/>
      <c r="H48" s="2"/>
      <c r="I48" s="2"/>
      <c r="J48" s="4"/>
      <c r="K48" s="7"/>
      <c r="L48" s="142"/>
      <c r="M48" s="9"/>
      <c r="N48" s="10"/>
      <c r="O48" s="2"/>
      <c r="P48" s="11"/>
      <c r="Q48" s="142"/>
      <c r="R48" s="9"/>
      <c r="S48" s="10"/>
      <c r="T48" s="2"/>
      <c r="U48" s="11"/>
      <c r="V48" s="6"/>
      <c r="W48" s="5"/>
      <c r="X48" s="121"/>
      <c r="Y48" s="121"/>
      <c r="Z48" s="121"/>
      <c r="AA48" s="121"/>
      <c r="AB48" s="121"/>
      <c r="AC48" s="121"/>
      <c r="AD48" s="121"/>
      <c r="AE48" s="121"/>
      <c r="AF48" s="8"/>
      <c r="AG48" s="8"/>
      <c r="AH48" s="8"/>
      <c r="AI48" s="61" t="str">
        <f t="shared" si="3"/>
        <v/>
      </c>
      <c r="AJ48" s="123">
        <f t="shared" si="4"/>
        <v>0</v>
      </c>
      <c r="AK48" s="123">
        <f t="shared" si="0"/>
        <v>0</v>
      </c>
      <c r="AL48" s="123" t="str">
        <f t="shared" si="1"/>
        <v/>
      </c>
      <c r="AM48" s="63">
        <f t="shared" si="2"/>
        <v>0</v>
      </c>
      <c r="AN48" s="126">
        <f t="shared" si="5"/>
        <v>0</v>
      </c>
    </row>
    <row r="49" spans="1:40" x14ac:dyDescent="0.2">
      <c r="A49">
        <v>30</v>
      </c>
      <c r="B49" s="1"/>
      <c r="C49" s="2"/>
      <c r="D49" s="3"/>
      <c r="E49" s="4"/>
      <c r="F49" s="6"/>
      <c r="G49" s="2"/>
      <c r="H49" s="2"/>
      <c r="I49" s="2"/>
      <c r="J49" s="4"/>
      <c r="K49" s="7"/>
      <c r="L49" s="142"/>
      <c r="M49" s="9"/>
      <c r="N49" s="10"/>
      <c r="O49" s="2"/>
      <c r="P49" s="11"/>
      <c r="Q49" s="142"/>
      <c r="R49" s="9"/>
      <c r="S49" s="10"/>
      <c r="T49" s="2"/>
      <c r="U49" s="11"/>
      <c r="V49" s="6"/>
      <c r="W49" s="5"/>
      <c r="X49" s="121"/>
      <c r="Y49" s="121"/>
      <c r="Z49" s="121"/>
      <c r="AA49" s="121"/>
      <c r="AB49" s="121"/>
      <c r="AC49" s="121"/>
      <c r="AD49" s="121"/>
      <c r="AE49" s="121"/>
      <c r="AF49" s="8"/>
      <c r="AG49" s="8"/>
      <c r="AH49" s="8"/>
      <c r="AI49" s="61" t="str">
        <f t="shared" si="3"/>
        <v/>
      </c>
      <c r="AJ49" s="123">
        <f t="shared" si="4"/>
        <v>0</v>
      </c>
      <c r="AK49" s="123">
        <f t="shared" si="0"/>
        <v>0</v>
      </c>
      <c r="AL49" s="123" t="str">
        <f t="shared" si="1"/>
        <v/>
      </c>
      <c r="AM49" s="63">
        <f t="shared" si="2"/>
        <v>0</v>
      </c>
      <c r="AN49" s="126">
        <f t="shared" si="5"/>
        <v>0</v>
      </c>
    </row>
    <row r="50" spans="1:40" x14ac:dyDescent="0.2">
      <c r="AL50" s="62"/>
    </row>
  </sheetData>
  <sheetProtection algorithmName="SHA-512" hashValue="TttKv8fkbFE5/Fj5+QDJQjnI5o/6qp12PCChPuKBe0S3DFz2kmD+3gcTDWGoDDJsI7awWzfq99diqqnLUgrlqg==" saltValue="geKzNI8COExlb+6hhQLceQ==" spinCount="100000" sheet="1" objects="1" scenarios="1" selectLockedCells="1"/>
  <mergeCells count="17">
    <mergeCell ref="AJ18:AM18"/>
    <mergeCell ref="AF18:AH18"/>
    <mergeCell ref="C4:D4"/>
    <mergeCell ref="L18:P18"/>
    <mergeCell ref="Q18:U18"/>
    <mergeCell ref="X18:AE18"/>
    <mergeCell ref="V18:W18"/>
    <mergeCell ref="C9:D10"/>
    <mergeCell ref="B18:E18"/>
    <mergeCell ref="F18:K18"/>
    <mergeCell ref="C5:D5"/>
    <mergeCell ref="F7:G7"/>
    <mergeCell ref="F8:G8"/>
    <mergeCell ref="X12:Y12"/>
    <mergeCell ref="A5:B5"/>
    <mergeCell ref="A6:B6"/>
    <mergeCell ref="C6:D6"/>
  </mergeCells>
  <conditionalFormatting sqref="G20:K49">
    <cfRule type="expression" dxfId="71" priority="85">
      <formula>$F20&lt;&gt;"YES"</formula>
    </cfRule>
  </conditionalFormatting>
  <conditionalFormatting sqref="C20:AM49">
    <cfRule type="expression" dxfId="70" priority="1" stopIfTrue="1">
      <formula>ISBLANK($B20)</formula>
    </cfRule>
  </conditionalFormatting>
  <conditionalFormatting sqref="W20:W49 T20:U49">
    <cfRule type="expression" dxfId="69" priority="246">
      <formula>$S20="by Car or Bus"</formula>
    </cfRule>
  </conditionalFormatting>
  <conditionalFormatting sqref="V20:V49 O20:P49">
    <cfRule type="expression" dxfId="68" priority="262">
      <formula>$N20="by Car or Bus"</formula>
    </cfRule>
  </conditionalFormatting>
  <conditionalFormatting sqref="F9:G10 F8">
    <cfRule type="expression" dxfId="67" priority="41">
      <formula>$D$12=$F$4</formula>
    </cfRule>
  </conditionalFormatting>
  <conditionalFormatting sqref="F9:G10 F8">
    <cfRule type="expression" dxfId="66" priority="42">
      <formula>$D$12=#REF!</formula>
    </cfRule>
  </conditionalFormatting>
  <conditionalFormatting sqref="E20:E49">
    <cfRule type="expression" dxfId="65" priority="339">
      <formula>AND(ISBLANK($E20),OR(#REF!="Athlete",$F20="YES"))</formula>
    </cfRule>
  </conditionalFormatting>
  <conditionalFormatting sqref="Q20:Q49">
    <cfRule type="expression" dxfId="64" priority="388">
      <formula>#REF!=1</formula>
    </cfRule>
    <cfRule type="expression" dxfId="63" priority="389">
      <formula>AND(NOT(ISBLANK($Q20)),$Q20-$L20&lt;3)</formula>
    </cfRule>
  </conditionalFormatting>
  <conditionalFormatting sqref="AG20:AG49">
    <cfRule type="expression" dxfId="62" priority="15">
      <formula>AND(NOT(ISBLANK(AG20)),OR(AG20&lt;$L20,AG20&gt;$Q20))</formula>
    </cfRule>
  </conditionalFormatting>
  <conditionalFormatting sqref="AF20:AF49">
    <cfRule type="expression" dxfId="61" priority="59">
      <formula>OR(AF20&lt;$L20,AF20&gt;$Q20)</formula>
    </cfRule>
  </conditionalFormatting>
  <conditionalFormatting sqref="AH20:AH49">
    <cfRule type="expression" dxfId="60" priority="14">
      <formula>AND(NOT(ISBLANK(AH20)),OR(AH20&lt;$L20,AH20&gt;$Q20))</formula>
    </cfRule>
  </conditionalFormatting>
  <conditionalFormatting sqref="F18 Q18 L18 AD18:AE19 AI18:AI19 AD1:AI9 AD17:AI17 V18:Z18 F19:Z19 AH14:AI15 AG16:AI16 AG10:AI13 AD10:AF16 F1:Z5 F16:Z17 F8 F9:G12 F6:G6 I6:Z6 H6:H12 A18:E49 I7:W12 X7:Z11 X15:Z15 Z12:Z14 F20:AI49 F13:W15">
    <cfRule type="expression" dxfId="59" priority="478">
      <formula>OR(ISBLANK($C$4),ISBLANK($C$5),ISBLANK($C$6),AND(ISBLANK($D$12)))</formula>
    </cfRule>
  </conditionalFormatting>
  <conditionalFormatting sqref="AA1:AC19">
    <cfRule type="expression" dxfId="58" priority="495">
      <formula>OR(ISBLANK($C$4),ISBLANK(#REF!),ISBLANK(#REF!),ISBLANK($C$5),ISBLANK($C$8),AND(ISBLANK($D$12),ISBLANK($D$13)))</formula>
    </cfRule>
  </conditionalFormatting>
  <conditionalFormatting sqref="AL19">
    <cfRule type="expression" dxfId="57" priority="497">
      <formula>OR(ISBLANK($C$4),ISBLANK(#REF!),ISBLANK(#REF!),ISBLANK($C$5),ISBLANK($C$8),AND(ISBLANK($D$12),ISBLANK($D$13)))</formula>
    </cfRule>
  </conditionalFormatting>
  <conditionalFormatting sqref="AF19:AG19 AF18">
    <cfRule type="expression" dxfId="56" priority="498">
      <formula>OR(ISBLANK($C$4),ISBLANK(#REF!),ISBLANK(#REF!),ISBLANK($C$5),ISBLANK($C$8),AND(ISBLANK($D$12),ISBLANK($D$13)))</formula>
    </cfRule>
  </conditionalFormatting>
  <conditionalFormatting sqref="AH19">
    <cfRule type="expression" dxfId="55" priority="500">
      <formula>OR(ISBLANK($C$4),ISBLANK(#REF!),ISBLANK(#REF!),ISBLANK($C$5),ISBLANK($C$8),AND(ISBLANK($D$12),ISBLANK($D$13)))</formula>
    </cfRule>
  </conditionalFormatting>
  <conditionalFormatting sqref="AG14:AG15">
    <cfRule type="expression" dxfId="54" priority="501">
      <formula>OR(ISBLANK($C$4),ISBLANK(#REF!),ISBLANK(#REF!),ISBLANK($C$5),ISBLANK($C$8),AND(ISBLANK($D$12),ISBLANK($D$13)))</formula>
    </cfRule>
  </conditionalFormatting>
  <conditionalFormatting sqref="F9:G10 F8">
    <cfRule type="expression" dxfId="53" priority="522">
      <formula>OR(ISBLANK($C$4),ISBLANK(#REF!),ISBLANK($C$5),ISBLANK($C$7),ISBLANK($C$8),AND(ISBLANK($D$12),ISBLANK($D$13)))</formula>
    </cfRule>
  </conditionalFormatting>
  <conditionalFormatting sqref="X20:AE49">
    <cfRule type="expression" dxfId="52" priority="523">
      <formula>AND(X20=$Z$13,HotelEJO&lt;&gt;#REF!)</formula>
    </cfRule>
    <cfRule type="expression" dxfId="51" priority="524">
      <formula>X20=Error1</formula>
    </cfRule>
    <cfRule type="expression" dxfId="50" priority="525">
      <formula>AND(NOT(ISBLANK($Q20)),$Q20&lt;=X$19)</formula>
    </cfRule>
    <cfRule type="expression" dxfId="49" priority="526">
      <formula>$L20&gt;X$19</formula>
    </cfRule>
  </conditionalFormatting>
  <conditionalFormatting sqref="F7">
    <cfRule type="expression" dxfId="48" priority="11">
      <formula>OR(ISBLANK($C$4),ISBLANK(#REF!),ISBLANK($C$5),ISBLANK($C$7),ISBLANK($C$8),AND(ISBLANK($D$12),ISBLANK($D$13)))</formula>
    </cfRule>
  </conditionalFormatting>
  <conditionalFormatting sqref="X13:Y14 X12">
    <cfRule type="expression" dxfId="47" priority="2">
      <formula>$D$12=$F$4</formula>
    </cfRule>
  </conditionalFormatting>
  <conditionalFormatting sqref="X13:Y14 X12">
    <cfRule type="expression" dxfId="46" priority="3">
      <formula>$D$12=#REF!</formula>
    </cfRule>
  </conditionalFormatting>
  <conditionalFormatting sqref="X12 X13:Y14">
    <cfRule type="expression" dxfId="45" priority="4">
      <formula>OR(ISBLANK($C$4),ISBLANK(#REF!),ISBLANK(#REF!),ISBLANK($C$5),ISBLANK($C$8),AND(ISBLANK($D$12),ISBLANK($D$13)))</formula>
    </cfRule>
  </conditionalFormatting>
  <conditionalFormatting sqref="X13:Y14 X12">
    <cfRule type="expression" dxfId="44" priority="5">
      <formula>OR(ISBLANK($C$4),ISBLANK(#REF!),ISBLANK($C$5),ISBLANK($C$7),ISBLANK($C$8),AND(ISBLANK($D$12),ISBLANK($D$13)))</formula>
    </cfRule>
  </conditionalFormatting>
  <conditionalFormatting sqref="M20:M49">
    <cfRule type="expression" dxfId="43" priority="13">
      <formula>AND(NOT(ISBLANK($Q20)),$M20&gt;$M$15)</formula>
    </cfRule>
  </conditionalFormatting>
  <dataValidations xWindow="1075" yWindow="785" count="35">
    <dataValidation type="list" allowBlank="1" showInputMessage="1" showErrorMessage="1" error="Please select one of the available options!" prompt="Select &quot;YES&quot; if the member needs a transfer shuttle from her/his arrival location to her/his (official) hotel._x000a_Please select &quot;NO&quot; if the member takes care of herself/himself." sqref="V20:V49" xr:uid="{FD7BCF4F-6795-4750-8500-7024E5BB608A}">
      <formula1>lstTransferLocation</formula1>
    </dataValidation>
    <dataValidation allowBlank="1" showInputMessage="1" showErrorMessage="1" prompt="If departing by plane or train, please provide the flight/train number." sqref="U21:U49" xr:uid="{B38285E2-69A0-4022-8FC2-CDFD923B5BC6}"/>
    <dataValidation type="list" allowBlank="1" showInputMessage="1" showErrorMessage="1" error="Please select one of the 3 options!" prompt="Please provide information how the member arrives at the event." sqref="N20:N49" xr:uid="{8EC1AEA7-CDD3-4D1F-A01B-20CEAB1E4093}">
      <formula1>lstLocomotionType</formula1>
    </dataValidation>
    <dataValidation type="time" allowBlank="1" showInputMessage="1" showErrorMessage="1" error="Please enter the arrival time in &quot;hh:mm&quot; (24h format)." prompt="Please enter the arrival time in &quot;hh:mm&quot; (24h format)." sqref="M20:N49" xr:uid="{2DC86B0E-D119-4156-B3CC-E80351CFABCC}">
      <formula1>0</formula1>
      <formula2>0.999305555555556</formula2>
    </dataValidation>
    <dataValidation type="date" allowBlank="1" showInputMessage="1" showErrorMessage="1" prompt="If a visa is required, enter the date when the passport was issued." sqref="J20:J49" xr:uid="{2916AE3B-AB54-437C-B39F-A45DF8207997}">
      <formula1>1</formula1>
      <formula2>47848</formula2>
    </dataValidation>
    <dataValidation allowBlank="1" showInputMessage="1" showErrorMessage="1" prompt="If a visa is required, enter the number of the member's passport." sqref="I20:I49" xr:uid="{CCDCF646-A53C-4016-B74D-EAC03C36D584}"/>
    <dataValidation allowBlank="1" showInputMessage="1" showErrorMessage="1" prompt="If a visa is required, enter the nationality of the member." sqref="H20:H49" xr:uid="{518517F1-2E7D-44E0-9FA5-40080EA5A70E}"/>
    <dataValidation allowBlank="1" showInputMessage="1" showErrorMessage="1" prompt="If a visa is required, enter the place where the member was born." sqref="G20:G49" xr:uid="{32837487-77C0-4647-BF36-883FF7684C03}"/>
    <dataValidation type="date" allowBlank="1" showInputMessage="1" showErrorMessage="1" error="Please enter the date with a correct format!" prompt="If the member is an athlete, or requires a visa, please enter her/his birth date" sqref="E20:E49" xr:uid="{19355CD9-1DCB-4DC9-A64F-91492BA170A8}">
      <formula1>1</formula1>
      <formula2>47848</formula2>
    </dataValidation>
    <dataValidation allowBlank="1" showInputMessage="1" showErrorMessage="1" prompt="Please enter the first name" sqref="C20:C49" xr:uid="{48735EFD-A43B-46CA-AAE9-B9970E7A7607}"/>
    <dataValidation type="custom" allowBlank="1" showInputMessage="1" showErrorMessage="1" error="Last name must not contain only spaces! Please delete all characters or enter at least one letter." prompt="Please enter the last (or family) name of the participating delegation member" sqref="B20:B49" xr:uid="{000FE3C6-4054-4E13-B7F8-453BE9E9E26B}">
      <formula1>LEN(TRIM(B20))&gt;0</formula1>
    </dataValidation>
    <dataValidation type="date" allowBlank="1" showInputMessage="1" showErrorMessage="1" prompt="If a visa is required, enter the date when the passport will expire." sqref="K20:K49" xr:uid="{48B3A09F-1C82-43E5-95B4-8BA1D474D866}">
      <formula1>1</formula1>
      <formula2>47848</formula2>
    </dataValidation>
    <dataValidation type="list"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W20:W49" xr:uid="{0DFFC98D-1AC5-4A40-8267-00FE49250F86}">
      <formula1>lstTransferLocation</formula1>
    </dataValidation>
    <dataValidation type="list" allowBlank="1" showInputMessage="1" showErrorMessage="1" error="Please select one of the available dates!" prompt="Select the date when the member departs from the event." sqref="Q21:Q49" xr:uid="{01EA0903-9758-400D-8F08-1FD7EE980025}">
      <formula1>lstDepartureDate</formula1>
    </dataValidation>
    <dataValidation type="list" allowBlank="1" showInputMessage="1" showErrorMessage="1" error="Please select one of the 3 available options!" prompt="Please provide information how the member departs from the event." sqref="S20:S49" xr:uid="{BDFC8EDE-E97E-42A2-BECF-7FD3510E98DB}">
      <formula1>lstLocomotionType</formula1>
    </dataValidation>
    <dataValidation type="time" allowBlank="1" showInputMessage="1" showErrorMessage="1" error="Please enter the time of departure in &quot;hh:mm&quot; (24h format)." prompt="Please enter the time of departure in &quot;hh:mm&quot; (24h format)." sqref="R20:R49" xr:uid="{898AE535-6A53-4216-8DD0-078305D2B2D5}">
      <formula1>0</formula1>
      <formula2>0.999305555555556</formula2>
    </dataValidation>
    <dataValidation type="list" allowBlank="1" showInputMessage="1" showErrorMessage="1" error="Please select one of the available dates!" prompt="Select the date when the member arrives at the event." sqref="L21:L49" xr:uid="{87BB53A5-C9D8-484A-ADCF-D790CB210260}">
      <formula1>lstArrivalDate</formula1>
    </dataValidation>
    <dataValidation type="list" allowBlank="1" showInputMessage="1" showErrorMessage="1" error="Only &quot;YES&quot; or &quot;NO&quot; is accepted!" prompt="Enter &quot;YES&quot;, if the member requires a visa for visiting the event. " sqref="F20:F49" xr:uid="{587B2F70-44C7-4638-B9A0-A910E010B7E8}">
      <formula1>lstYesNo</formula1>
    </dataValidation>
    <dataValidation type="list" allowBlank="1" showInputMessage="1" showErrorMessage="1" error="Only values offered in the drop down list can be entered!" prompt="Please select one of the available options. Scroll down to find more options." sqref="D20:D49" xr:uid="{B66F164D-7892-4E6E-A957-35111A65F404}">
      <formula1>lstWeightOrFunctionCategory</formula1>
    </dataValidation>
    <dataValidation type="list" allowBlank="1" showInputMessage="1" showErrorMessage="1" sqref="D12" xr:uid="{5660AA25-BD61-42D2-B221-1087B5BB391D}">
      <formula1>lstHotelsEJO</formula1>
    </dataValidation>
    <dataValidation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AM20:AM49 AJ20:AK49" xr:uid="{88438AE2-9D13-4477-B4CC-6574570B3921}"/>
    <dataValidation type="textLength" showInputMessage="1" showErrorMessage="1" error="The federation's name is required!" prompt="Please enter the name of your federation" sqref="C4" xr:uid="{055C8927-1177-40DE-8587-01B7F15D1A6F}">
      <formula1>1</formula1>
      <formula2>120</formula2>
    </dataValidation>
    <dataValidation allowBlank="1" showInputMessage="1" showErrorMessage="1" error="Please select one of the available options!" sqref="AI20:AI49" xr:uid="{9A4BE39E-5591-4B4B-AAB2-6F9AA7ED1863}"/>
    <dataValidation allowBlank="1" showInputMessage="1" showErrorMessage="1" prompt="If arriving by plane or train, please provide the name of the airport/train station where the member started her/his LAST leg." sqref="N20:N49" xr:uid="{C1DC6C34-B7A7-4410-9184-EA4BFBD13D7E}"/>
    <dataValidation type="list" allowBlank="1" showInputMessage="1" showErrorMessage="1" error="Please select one of the available options!" prompt="Please select the airport/train station from where the member departs." sqref="S20:S49" xr:uid="{7B2F7D6B-AFF2-4BB9-BD22-2289B06B0BF3}">
      <formula1>lstTravelLocation</formula1>
    </dataValidation>
    <dataValidation allowBlank="1" showInputMessage="1" showErrorMessage="1" prompt="If arriving by plane, please provide the name of the airport where the member started her/his LAST leg." sqref="O20:O49" xr:uid="{5463C993-5CB2-499D-A6F1-4A11BD610A3D}"/>
    <dataValidation allowBlank="1" showInputMessage="1" showErrorMessage="1" prompt="If arriving by plane, please provide the flight number." sqref="P20:P49" xr:uid="{560768E9-D4F1-46F1-B505-6718614FC7D7}"/>
    <dataValidation allowBlank="1" showInputMessage="1" showErrorMessage="1" prompt="If leaving by plane, please provide the name of the airport where the member will arrive first." sqref="T20:T49" xr:uid="{30058E24-8619-438D-8712-E4A656E8B071}"/>
    <dataValidation allowBlank="1" showInputMessage="1" showErrorMessage="1" prompt="If departing by plane, please provide the flight number." sqref="U20" xr:uid="{B70CC9B5-0C1B-4CB7-AADE-0EC76E387FAD}"/>
    <dataValidation allowBlank="1" showInputMessage="1" showErrorMessage="1" error="Please select one of the available options!" prompt="Please select the additional meals (breakfast always included)" sqref="AJ20:AK49" xr:uid="{AFB0C6BB-C389-447E-8984-94AC2EE0E49C}"/>
    <dataValidation type="list" allowBlank="1" showInputMessage="1" showErrorMessage="1" error="Please select one of the available dates!" prompt="Select the date for the first test." sqref="AF46:AF49" xr:uid="{9BD13CB9-C441-4339-B8C9-B93E96E2CAAD}">
      <formula1>lstDepartureDate</formula1>
    </dataValidation>
    <dataValidation type="list" allowBlank="1" showInputMessage="1" showErrorMessage="1" error="Please select one of the available dates!" prompt="Select the date for the second test." sqref="AG20:AG49" xr:uid="{37B8BDE2-F0A9-4D25-A4F0-6D4D0A49ED3B}">
      <formula1>lstTestDate</formula1>
    </dataValidation>
    <dataValidation type="list" allowBlank="1" showInputMessage="1" showErrorMessage="1" error="Please select one of the available dates!" prompt="Select the date for the exit test." sqref="AH20:AH49" xr:uid="{D791C7D4-7D1A-4005-A112-B1E64DF54BDA}">
      <formula1>lstTestDate</formula1>
    </dataValidation>
    <dataValidation type="list" allowBlank="1" showInputMessage="1" showErrorMessage="1" error="Please select one of the available dates!" prompt="Select the date for the first test." sqref="AF20:AF45" xr:uid="{61B313B0-4254-4C1F-B159-46F64763BB80}">
      <formula1>lstTestDate</formula1>
    </dataValidation>
    <dataValidation allowBlank="1" showInputMessage="1" showErrorMessage="1" prompt="Please provide us with a telephone number to discuss possible questions." sqref="C5:D5" xr:uid="{3D1A9E16-E0ED-436D-900F-BE995A2EA0C2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4" id="{D6092435-124C-438C-A17B-E2E21DE0D9C0}">
            <xm:f>AND(VLOOKUP($D20,'/Users/sylviebach/Interreg Judo Coop. Dropbox/Sylvie Bach/IJC intern/INTERREG JUDO COMPETITION/U21 EUROPEAN JUDO CHAMPIONSHIPS 2021/Accommodation/C:\Users\denis\OneDrive\Documents\Users\Denis\Desktop\Judo\Interreg\Aktionen\2019.09.29 EOpen2019 LUX\other departments\Accreditation\bearbeiten\[Meldeformular Saarbrücken 2018 final TESTS - dbV1.xlsx]Parameters'!#REF!,6,0)&lt;&gt;"Athlete",$F20&lt;&gt;"YES")</xm:f>
            <x14:dxf>
              <font>
                <color rgb="FF9C0006"/>
              </font>
              <fill>
                <patternFill>
                  <bgColor theme="0" tint="-0.24994659260841701"/>
                </patternFill>
              </fill>
            </x14:dxf>
          </x14:cfRule>
          <xm:sqref>E20:E49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75" yWindow="785" count="4">
        <x14:dataValidation type="list" allowBlank="1" showInputMessage="1" showErrorMessage="1" xr:uid="{6B62AB09-BC34-4048-B3CB-E40B2FE867E9}">
          <x14:formula1>
            <xm:f>Parameters!$S$9:$S$11</xm:f>
          </x14:formula1>
          <xm:sqref>X46:AE49</xm:sqref>
        </x14:dataValidation>
        <x14:dataValidation type="list" allowBlank="1" showInputMessage="1" showErrorMessage="1" xr:uid="{85990D64-0455-4D50-8C1F-A2E2D56EE297}">
          <x14:formula1>
            <xm:f>Parameters!$S$9:$S$10</xm:f>
          </x14:formula1>
          <xm:sqref>X20:AE45</xm:sqref>
        </x14:dataValidation>
        <x14:dataValidation type="list" allowBlank="1" showInputMessage="1" showErrorMessage="1" error="Please select one of the available dates!" prompt="Select the date when the member arrives at the event." xr:uid="{293C436D-B4A2-FE42-9931-76F65CBA8585}">
          <x14:formula1>
            <xm:f>Parameters!$M$3:$M$7</xm:f>
          </x14:formula1>
          <xm:sqref>L20</xm:sqref>
        </x14:dataValidation>
        <x14:dataValidation type="list" allowBlank="1" showInputMessage="1" showErrorMessage="1" error="Please select one of the available dates!" prompt="Select the date when the member departs from the event." xr:uid="{C35FDA71-9865-4647-8663-35E2F6EC0B27}">
          <x14:formula1>
            <xm:f>Parameters!$O$4:$O$8</xm:f>
          </x14:formula1>
          <xm:sqref>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4A46-6400-49B7-A7B9-B3CA05367984}">
  <dimension ref="A3:K31"/>
  <sheetViews>
    <sheetView zoomScaleNormal="100" workbookViewId="0">
      <selection activeCell="K25" sqref="K25"/>
    </sheetView>
  </sheetViews>
  <sheetFormatPr baseColWidth="10" defaultColWidth="11.5" defaultRowHeight="15" x14ac:dyDescent="0.2"/>
  <cols>
    <col min="1" max="16384" width="11.5" style="28"/>
  </cols>
  <sheetData>
    <row r="3" spans="1:11" ht="21" x14ac:dyDescent="0.25">
      <c r="A3" s="184" t="s">
        <v>97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5" spans="1:11" x14ac:dyDescent="0.2">
      <c r="A5" s="28" t="s">
        <v>98</v>
      </c>
    </row>
    <row r="6" spans="1:11" ht="16" x14ac:dyDescent="0.2">
      <c r="A6" s="28" t="s">
        <v>126</v>
      </c>
    </row>
    <row r="7" spans="1:11" x14ac:dyDescent="0.2">
      <c r="A7" s="28" t="s">
        <v>99</v>
      </c>
    </row>
    <row r="9" spans="1:11" ht="17" thickBot="1" x14ac:dyDescent="0.25">
      <c r="A9" s="185" t="s">
        <v>100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</row>
    <row r="10" spans="1:11" ht="17" thickBot="1" x14ac:dyDescent="0.25">
      <c r="A10" s="64" t="s">
        <v>101</v>
      </c>
      <c r="B10" s="65" t="s">
        <v>28</v>
      </c>
      <c r="C10" s="66">
        <f>'Data entry form'!X19</f>
        <v>44445</v>
      </c>
      <c r="D10" s="66">
        <f>'Data entry form'!Y19</f>
        <v>44446</v>
      </c>
      <c r="E10" s="66">
        <f>'Data entry form'!Z19</f>
        <v>44447</v>
      </c>
      <c r="F10" s="66">
        <f>'Data entry form'!AA19</f>
        <v>44448</v>
      </c>
      <c r="G10" s="66">
        <f>'Data entry form'!AB19</f>
        <v>44449</v>
      </c>
      <c r="H10" s="66">
        <f>'Data entry form'!AC19</f>
        <v>44450</v>
      </c>
      <c r="I10" s="66">
        <f>'Data entry form'!AD19</f>
        <v>44451</v>
      </c>
      <c r="J10" s="66">
        <f>'Data entry form'!AE19</f>
        <v>44452</v>
      </c>
      <c r="K10" s="67" t="s">
        <v>102</v>
      </c>
    </row>
    <row r="11" spans="1:11" ht="16" x14ac:dyDescent="0.2">
      <c r="A11" s="68" t="s">
        <v>56</v>
      </c>
      <c r="B11" s="69" t="s">
        <v>103</v>
      </c>
      <c r="C11" s="70">
        <f>COUNTIFS('Data entry form'!X$20:X$49,"="&amp;"*"&amp;$A11&amp;"*",'Data entry form'!$D$20:$D$49,"="&amp;"*, "&amp;$B11&amp;"*")</f>
        <v>0</v>
      </c>
      <c r="D11" s="70">
        <f>COUNTIFS('Data entry form'!Y$20:Y$49,"="&amp;"*"&amp;$A11&amp;"*",'Data entry form'!$D$20:$D$49,"="&amp;"*, "&amp;$B11&amp;"*")</f>
        <v>0</v>
      </c>
      <c r="E11" s="70">
        <f>COUNTIFS('Data entry form'!Z$20:Z$49,"="&amp;"*"&amp;$A11&amp;"*",'Data entry form'!$D$20:$D$49,"="&amp;"*, "&amp;$B11&amp;"*")</f>
        <v>0</v>
      </c>
      <c r="F11" s="70">
        <f>COUNTIFS('Data entry form'!AA$20:AA$49,"="&amp;"*"&amp;$A11&amp;"*",'Data entry form'!$D$20:$D$49,"="&amp;"*, "&amp;$B11&amp;"*")</f>
        <v>0</v>
      </c>
      <c r="G11" s="70">
        <f>COUNTIFS('Data entry form'!AB$20:AB$49,"="&amp;"*"&amp;$A11&amp;"*",'Data entry form'!$D$20:$D$49,"="&amp;"*, "&amp;$B11&amp;"*")</f>
        <v>0</v>
      </c>
      <c r="H11" s="70">
        <f>COUNTIFS('Data entry form'!AC$20:AC$49,"="&amp;"*"&amp;$A11&amp;"*",'Data entry form'!$D$20:$D$49,"="&amp;"*, "&amp;$B11&amp;"*")</f>
        <v>0</v>
      </c>
      <c r="I11" s="70">
        <f>COUNTIFS('Data entry form'!AD$20:AD$49,"="&amp;"*"&amp;$A11&amp;"*",'Data entry form'!$D$20:$D$49,"="&amp;"*, "&amp;$B11&amp;"*")</f>
        <v>0</v>
      </c>
      <c r="J11" s="70">
        <f>COUNTIFS('Data entry form'!AE$20:AE$49,"="&amp;"*"&amp;$A11&amp;"*",'Data entry form'!$D$20:$D$49,"="&amp;"*, "&amp;$B11&amp;"*")</f>
        <v>0</v>
      </c>
      <c r="K11" s="71">
        <f t="shared" ref="K11:K16" si="0">SUM(C11:J11)</f>
        <v>0</v>
      </c>
    </row>
    <row r="12" spans="1:11" ht="17" thickBot="1" x14ac:dyDescent="0.25">
      <c r="A12" s="72" t="s">
        <v>56</v>
      </c>
      <c r="B12" s="73" t="s">
        <v>104</v>
      </c>
      <c r="C12" s="70">
        <f>COUNTIFS('Data entry form'!X$20:X$49,"="&amp;"*"&amp;$A12&amp;"*",'Data entry form'!$D$20:$D$49,"="&amp;"*, "&amp;$B12&amp;"*")</f>
        <v>0</v>
      </c>
      <c r="D12" s="70">
        <f>COUNTIFS('Data entry form'!Y$20:Y$49,"="&amp;"*"&amp;$A12&amp;"*",'Data entry form'!$D$20:$D$49,"="&amp;"*, "&amp;$B12&amp;"*")</f>
        <v>0</v>
      </c>
      <c r="E12" s="70">
        <f>COUNTIFS('Data entry form'!Z$20:Z$49,"="&amp;"*"&amp;$A12&amp;"*",'Data entry form'!$D$20:$D$49,"="&amp;"*, "&amp;$B12&amp;"*")</f>
        <v>0</v>
      </c>
      <c r="F12" s="70">
        <f>COUNTIFS('Data entry form'!AA$20:AA$49,"="&amp;"*"&amp;$A12&amp;"*",'Data entry form'!$D$20:$D$49,"="&amp;"*, "&amp;$B12&amp;"*")</f>
        <v>0</v>
      </c>
      <c r="G12" s="70">
        <f>COUNTIFS('Data entry form'!AB$20:AB$49,"="&amp;"*"&amp;$A12&amp;"*",'Data entry form'!$D$20:$D$49,"="&amp;"*, "&amp;$B12&amp;"*")</f>
        <v>0</v>
      </c>
      <c r="H12" s="70">
        <f>COUNTIFS('Data entry form'!AC$20:AC$49,"="&amp;"*"&amp;$A12&amp;"*",'Data entry form'!$D$20:$D$49,"="&amp;"*, "&amp;$B12&amp;"*")</f>
        <v>0</v>
      </c>
      <c r="I12" s="70">
        <f>COUNTIFS('Data entry form'!AD$20:AD$49,"="&amp;"*"&amp;$A12&amp;"*",'Data entry form'!$D$20:$D$49,"="&amp;"*, "&amp;$B12&amp;"*")</f>
        <v>0</v>
      </c>
      <c r="J12" s="70">
        <f>COUNTIFS('Data entry form'!AE$20:AE$49,"="&amp;"*"&amp;$A12&amp;"*",'Data entry form'!$D$20:$D$49,"="&amp;"*, "&amp;$B12&amp;"*")</f>
        <v>0</v>
      </c>
      <c r="K12" s="74">
        <f t="shared" si="0"/>
        <v>0</v>
      </c>
    </row>
    <row r="13" spans="1:11" ht="17" thickBot="1" x14ac:dyDescent="0.25">
      <c r="A13" s="75" t="s">
        <v>56</v>
      </c>
      <c r="B13" s="76" t="s">
        <v>102</v>
      </c>
      <c r="C13" s="77">
        <f>SUM(C11:C12)</f>
        <v>0</v>
      </c>
      <c r="D13" s="77">
        <f t="shared" ref="D13:I13" si="1">SUM(D11:D12)</f>
        <v>0</v>
      </c>
      <c r="E13" s="77">
        <f t="shared" si="1"/>
        <v>0</v>
      </c>
      <c r="F13" s="77">
        <f t="shared" si="1"/>
        <v>0</v>
      </c>
      <c r="G13" s="77">
        <f t="shared" si="1"/>
        <v>0</v>
      </c>
      <c r="H13" s="77">
        <f t="shared" si="1"/>
        <v>0</v>
      </c>
      <c r="I13" s="77">
        <f t="shared" si="1"/>
        <v>0</v>
      </c>
      <c r="J13" s="77">
        <f>SUM(J11:J12)</f>
        <v>0</v>
      </c>
      <c r="K13" s="78">
        <f t="shared" si="0"/>
        <v>0</v>
      </c>
    </row>
    <row r="14" spans="1:11" ht="16" x14ac:dyDescent="0.2">
      <c r="A14" s="68" t="s">
        <v>59</v>
      </c>
      <c r="B14" s="69" t="s">
        <v>103</v>
      </c>
      <c r="C14" s="70">
        <f>COUNTIFS('Data entry form'!X$20:X$49,"="&amp;"*"&amp;$A14&amp;"*",'Data entry form'!$D$20:$D$49,"="&amp;"*, "&amp;$B14&amp;"*")</f>
        <v>0</v>
      </c>
      <c r="D14" s="70">
        <f>COUNTIFS('Data entry form'!Y$20:Y$49,"="&amp;"*"&amp;$A14&amp;"*",'Data entry form'!$D$20:$D$49,"="&amp;"*, "&amp;$B14&amp;"*")</f>
        <v>0</v>
      </c>
      <c r="E14" s="70">
        <f>COUNTIFS('Data entry form'!Z$20:Z$49,"="&amp;"*"&amp;$A14&amp;"*",'Data entry form'!$D$20:$D$49,"="&amp;"*, "&amp;$B14&amp;"*")</f>
        <v>0</v>
      </c>
      <c r="F14" s="70">
        <f>COUNTIFS('Data entry form'!AA$20:AA$49,"="&amp;"*"&amp;$A14&amp;"*",'Data entry form'!$D$20:$D$49,"="&amp;"*, "&amp;$B14&amp;"*")</f>
        <v>0</v>
      </c>
      <c r="G14" s="70">
        <f>COUNTIFS('Data entry form'!AB$20:AB$49,"="&amp;"*"&amp;$A14&amp;"*",'Data entry form'!$D$20:$D$49,"="&amp;"*, "&amp;$B14&amp;"*")</f>
        <v>0</v>
      </c>
      <c r="H14" s="70">
        <f>COUNTIFS('Data entry form'!AC$20:AC$49,"="&amp;"*"&amp;$A14&amp;"*",'Data entry form'!$D$20:$D$49,"="&amp;"*, "&amp;$B14&amp;"*")</f>
        <v>0</v>
      </c>
      <c r="I14" s="70">
        <f>COUNTIFS('Data entry form'!AD$20:AD$49,"="&amp;"*"&amp;$A14&amp;"*",'Data entry form'!$D$20:$D$49,"="&amp;"*, "&amp;$B14&amp;"*")</f>
        <v>0</v>
      </c>
      <c r="J14" s="70">
        <f>COUNTIFS('Data entry form'!AE$20:AE$49,"="&amp;"*"&amp;$A14&amp;"*",'Data entry form'!$D$20:$D$49,"="&amp;"*, "&amp;$B14&amp;"*")</f>
        <v>0</v>
      </c>
      <c r="K14" s="71">
        <f t="shared" si="0"/>
        <v>0</v>
      </c>
    </row>
    <row r="15" spans="1:11" ht="17" thickBot="1" x14ac:dyDescent="0.25">
      <c r="A15" s="72" t="s">
        <v>59</v>
      </c>
      <c r="B15" s="73" t="s">
        <v>104</v>
      </c>
      <c r="C15" s="70">
        <f>COUNTIFS('Data entry form'!X$20:X$49,"="&amp;"*"&amp;$A15&amp;"*",'Data entry form'!$D$20:$D$49,"="&amp;"*, "&amp;$B15&amp;"*")</f>
        <v>0</v>
      </c>
      <c r="D15" s="70">
        <f>COUNTIFS('Data entry form'!Y$20:Y$49,"="&amp;"*"&amp;$A15&amp;"*",'Data entry form'!$D$20:$D$49,"="&amp;"*, "&amp;$B15&amp;"*")</f>
        <v>0</v>
      </c>
      <c r="E15" s="70">
        <f>COUNTIFS('Data entry form'!Z$20:Z$49,"="&amp;"*"&amp;$A15&amp;"*",'Data entry form'!$D$20:$D$49,"="&amp;"*, "&amp;$B15&amp;"*")</f>
        <v>0</v>
      </c>
      <c r="F15" s="70">
        <f>COUNTIFS('Data entry form'!AA$20:AA$49,"="&amp;"*"&amp;$A15&amp;"*",'Data entry form'!$D$20:$D$49,"="&amp;"*, "&amp;$B15&amp;"*")</f>
        <v>0</v>
      </c>
      <c r="G15" s="70">
        <f>COUNTIFS('Data entry form'!AB$20:AB$49,"="&amp;"*"&amp;$A15&amp;"*",'Data entry form'!$D$20:$D$49,"="&amp;"*, "&amp;$B15&amp;"*")</f>
        <v>0</v>
      </c>
      <c r="H15" s="70">
        <f>COUNTIFS('Data entry form'!AC$20:AC$49,"="&amp;"*"&amp;$A15&amp;"*",'Data entry form'!$D$20:$D$49,"="&amp;"*, "&amp;$B15&amp;"*")</f>
        <v>0</v>
      </c>
      <c r="I15" s="70">
        <f>COUNTIFS('Data entry form'!AD$20:AD$49,"="&amp;"*"&amp;$A15&amp;"*",'Data entry form'!$D$20:$D$49,"="&amp;"*, "&amp;$B15&amp;"*")</f>
        <v>0</v>
      </c>
      <c r="J15" s="70">
        <f>COUNTIFS('Data entry form'!AE$20:AE$49,"="&amp;"*"&amp;$A15&amp;"*",'Data entry form'!$D$20:$D$49,"="&amp;"*, "&amp;$B15&amp;"*")</f>
        <v>0</v>
      </c>
      <c r="K15" s="74">
        <f t="shared" si="0"/>
        <v>0</v>
      </c>
    </row>
    <row r="16" spans="1:11" ht="17" thickBot="1" x14ac:dyDescent="0.25">
      <c r="A16" s="75" t="s">
        <v>59</v>
      </c>
      <c r="B16" s="76" t="s">
        <v>102</v>
      </c>
      <c r="C16" s="77">
        <f>SUM(C14:C15)</f>
        <v>0</v>
      </c>
      <c r="D16" s="77">
        <f t="shared" ref="D16:I16" si="2">SUM(D14:D15)</f>
        <v>0</v>
      </c>
      <c r="E16" s="77">
        <f t="shared" si="2"/>
        <v>0</v>
      </c>
      <c r="F16" s="77">
        <f t="shared" si="2"/>
        <v>0</v>
      </c>
      <c r="G16" s="77">
        <f t="shared" si="2"/>
        <v>0</v>
      </c>
      <c r="H16" s="77">
        <f t="shared" si="2"/>
        <v>0</v>
      </c>
      <c r="I16" s="77">
        <f t="shared" si="2"/>
        <v>0</v>
      </c>
      <c r="J16" s="77">
        <f>SUM(J14:J15)</f>
        <v>0</v>
      </c>
      <c r="K16" s="78">
        <f t="shared" si="0"/>
        <v>0</v>
      </c>
    </row>
    <row r="17" spans="1:11" ht="16" x14ac:dyDescent="0.2">
      <c r="A17" s="68" t="s">
        <v>108</v>
      </c>
      <c r="B17" s="69" t="s">
        <v>103</v>
      </c>
      <c r="C17" s="70">
        <f>COUNTIFS('Data entry form'!X$20:X$49,"="&amp;"*"&amp;$A17&amp;"*",'Data entry form'!$D$20:$D$49,"="&amp;"*, "&amp;$B17&amp;"*")</f>
        <v>0</v>
      </c>
      <c r="D17" s="70">
        <f>COUNTIFS('Data entry form'!Y$20:Y$49,"="&amp;"*"&amp;$A17&amp;"*",'Data entry form'!$D$20:$D$49,"="&amp;"*, "&amp;$B17&amp;"*")</f>
        <v>0</v>
      </c>
      <c r="E17" s="70">
        <f>COUNTIFS('Data entry form'!Z$20:Z$49,"="&amp;"*"&amp;$A17&amp;"*",'Data entry form'!$D$20:$D$49,"="&amp;"*, "&amp;$B17&amp;"*")</f>
        <v>0</v>
      </c>
      <c r="F17" s="70">
        <f>COUNTIFS('Data entry form'!AA$20:AA$49,"="&amp;"*"&amp;$A17&amp;"*",'Data entry form'!$D$20:$D$49,"="&amp;"*, "&amp;$B17&amp;"*")</f>
        <v>0</v>
      </c>
      <c r="G17" s="70">
        <f>COUNTIFS('Data entry form'!AB$20:AB$49,"="&amp;"*"&amp;$A17&amp;"*",'Data entry form'!$D$20:$D$49,"="&amp;"*, "&amp;$B17&amp;"*")</f>
        <v>0</v>
      </c>
      <c r="H17" s="70">
        <f>COUNTIFS('Data entry form'!AC$20:AC$49,"="&amp;"*"&amp;$A17&amp;"*",'Data entry form'!$D$20:$D$49,"="&amp;"*, "&amp;$B17&amp;"*")</f>
        <v>0</v>
      </c>
      <c r="I17" s="70">
        <f>COUNTIFS('Data entry form'!AD$20:AD$49,"="&amp;"*"&amp;$A17&amp;"*",'Data entry form'!$D$20:$D$49,"="&amp;"*, "&amp;$B17&amp;"*")</f>
        <v>0</v>
      </c>
      <c r="J17" s="70">
        <f>COUNTIFS('Data entry form'!AE$20:AE$49,"="&amp;"*"&amp;$A17&amp;"*",'Data entry form'!$D$20:$D$49,"="&amp;"*, "&amp;$B17&amp;"*")</f>
        <v>0</v>
      </c>
      <c r="K17" s="71">
        <f t="shared" ref="K17" si="3">SUM(C17:J17)</f>
        <v>0</v>
      </c>
    </row>
    <row r="18" spans="1:11" ht="17" thickBot="1" x14ac:dyDescent="0.25">
      <c r="A18" s="72" t="s">
        <v>108</v>
      </c>
      <c r="B18" s="73" t="s">
        <v>104</v>
      </c>
      <c r="C18" s="70">
        <f>COUNTIFS('Data entry form'!X$20:X$49,"="&amp;"*"&amp;$A18&amp;"*",'Data entry form'!$D$20:$D$49,"="&amp;"*, "&amp;$B18&amp;"*")</f>
        <v>0</v>
      </c>
      <c r="D18" s="70">
        <f>COUNTIFS('Data entry form'!Y$20:Y$49,"="&amp;"*"&amp;$A18&amp;"*",'Data entry form'!$D$20:$D$49,"="&amp;"*, "&amp;$B18&amp;"*")</f>
        <v>0</v>
      </c>
      <c r="E18" s="70">
        <f>COUNTIFS('Data entry form'!Z$20:Z$49,"="&amp;"*"&amp;$A18&amp;"*",'Data entry form'!$D$20:$D$49,"="&amp;"*, "&amp;$B18&amp;"*")</f>
        <v>0</v>
      </c>
      <c r="F18" s="70">
        <f>COUNTIFS('Data entry form'!AA$20:AA$49,"="&amp;"*"&amp;$A18&amp;"*",'Data entry form'!$D$20:$D$49,"="&amp;"*, "&amp;$B18&amp;"*")</f>
        <v>0</v>
      </c>
      <c r="G18" s="70">
        <f>COUNTIFS('Data entry form'!AB$20:AB$49,"="&amp;"*"&amp;$A18&amp;"*",'Data entry form'!$D$20:$D$49,"="&amp;"*, "&amp;$B18&amp;"*")</f>
        <v>0</v>
      </c>
      <c r="H18" s="70">
        <f>COUNTIFS('Data entry form'!AC$20:AC$49,"="&amp;"*"&amp;$A18&amp;"*",'Data entry form'!$D$20:$D$49,"="&amp;"*, "&amp;$B18&amp;"*")</f>
        <v>0</v>
      </c>
      <c r="I18" s="70">
        <f>COUNTIFS('Data entry form'!AD$20:AD$49,"="&amp;"*"&amp;$A18&amp;"*",'Data entry form'!$D$20:$D$49,"="&amp;"*, "&amp;$B18&amp;"*")</f>
        <v>0</v>
      </c>
      <c r="J18" s="70">
        <f>COUNTIFS('Data entry form'!AE$20:AE$49,"="&amp;"*"&amp;$A18&amp;"*",'Data entry form'!$D$20:$D$49,"="&amp;"*, "&amp;$B18&amp;"*")</f>
        <v>0</v>
      </c>
      <c r="K18" s="74">
        <f>SUM(C18:J18)</f>
        <v>0</v>
      </c>
    </row>
    <row r="19" spans="1:11" ht="17" thickBot="1" x14ac:dyDescent="0.25">
      <c r="A19" s="79" t="s">
        <v>108</v>
      </c>
      <c r="B19" s="80" t="s">
        <v>102</v>
      </c>
      <c r="C19" s="81">
        <f>SUM(C17:C18)</f>
        <v>0</v>
      </c>
      <c r="D19" s="81">
        <f t="shared" ref="D19:J19" si="4">SUM(D17:D18)</f>
        <v>0</v>
      </c>
      <c r="E19" s="81">
        <f t="shared" si="4"/>
        <v>0</v>
      </c>
      <c r="F19" s="81">
        <f t="shared" si="4"/>
        <v>0</v>
      </c>
      <c r="G19" s="81">
        <f t="shared" si="4"/>
        <v>0</v>
      </c>
      <c r="H19" s="81">
        <f t="shared" si="4"/>
        <v>0</v>
      </c>
      <c r="I19" s="81">
        <f t="shared" si="4"/>
        <v>0</v>
      </c>
      <c r="J19" s="81">
        <f t="shared" si="4"/>
        <v>0</v>
      </c>
      <c r="K19" s="82">
        <f>SUM(C19:J19)</f>
        <v>0</v>
      </c>
    </row>
    <row r="20" spans="1:11" ht="17" thickBot="1" x14ac:dyDescent="0.25">
      <c r="A20" s="188" t="s">
        <v>107</v>
      </c>
      <c r="B20" s="189"/>
      <c r="C20" s="83">
        <f>SUM(C16,C13,C19)</f>
        <v>0</v>
      </c>
      <c r="D20" s="83">
        <f t="shared" ref="D20:I20" si="5">SUM(D16,D13,D19)</f>
        <v>0</v>
      </c>
      <c r="E20" s="83">
        <f t="shared" si="5"/>
        <v>0</v>
      </c>
      <c r="F20" s="83">
        <f t="shared" si="5"/>
        <v>0</v>
      </c>
      <c r="G20" s="83">
        <f t="shared" si="5"/>
        <v>0</v>
      </c>
      <c r="H20" s="83">
        <f t="shared" si="5"/>
        <v>0</v>
      </c>
      <c r="I20" s="83">
        <f t="shared" si="5"/>
        <v>0</v>
      </c>
      <c r="J20" s="83">
        <f>SUM(J16,J13,J19)</f>
        <v>0</v>
      </c>
      <c r="K20" s="84">
        <f>SUM(K16,K13,K19)</f>
        <v>0</v>
      </c>
    </row>
    <row r="21" spans="1:11" ht="16" x14ac:dyDescent="0.2">
      <c r="C21" s="85"/>
      <c r="D21" s="85"/>
      <c r="E21" s="85"/>
      <c r="F21" s="85"/>
      <c r="G21" s="85"/>
      <c r="H21" s="85"/>
      <c r="I21" s="85"/>
      <c r="J21" s="85"/>
      <c r="K21" s="86"/>
    </row>
    <row r="22" spans="1:11" ht="16" x14ac:dyDescent="0.2">
      <c r="A22" s="186" t="s">
        <v>105</v>
      </c>
      <c r="B22" s="186"/>
      <c r="C22" s="187" t="s">
        <v>106</v>
      </c>
      <c r="D22" s="187"/>
      <c r="E22" s="187"/>
      <c r="F22" s="187"/>
      <c r="G22" s="187"/>
      <c r="H22" s="187"/>
      <c r="I22" s="187"/>
      <c r="J22" s="187"/>
      <c r="K22" s="187"/>
    </row>
    <row r="24" spans="1:11" ht="19" x14ac:dyDescent="0.25">
      <c r="B24" s="136" t="str">
        <f>IF(AND(K19&gt;0,HotelEJO&lt;&gt;"Mama Shelter"),"Triple Rooms only available in Mama Shelter","")</f>
        <v/>
      </c>
    </row>
    <row r="26" spans="1:11" ht="19" x14ac:dyDescent="0.25">
      <c r="B26" s="136" t="str">
        <f>IF(COUNTA('Data entry form'!B20:B80)&gt;COUNTA('Data entry form'!AF20:AF80),"Every person must do the PCR test on arrival","")</f>
        <v/>
      </c>
    </row>
    <row r="29" spans="1:11" ht="17" thickBot="1" x14ac:dyDescent="0.25">
      <c r="A29" s="179" t="s">
        <v>158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1" ht="17" thickBot="1" x14ac:dyDescent="0.25">
      <c r="A30" s="180" t="s">
        <v>16</v>
      </c>
      <c r="B30" s="181"/>
      <c r="C30" s="138">
        <f>C10</f>
        <v>44445</v>
      </c>
      <c r="D30" s="138">
        <f t="shared" ref="D30:J30" si="6">D10</f>
        <v>44446</v>
      </c>
      <c r="E30" s="138">
        <f t="shared" si="6"/>
        <v>44447</v>
      </c>
      <c r="F30" s="138">
        <f t="shared" si="6"/>
        <v>44448</v>
      </c>
      <c r="G30" s="138">
        <f t="shared" si="6"/>
        <v>44449</v>
      </c>
      <c r="H30" s="138">
        <f t="shared" si="6"/>
        <v>44450</v>
      </c>
      <c r="I30" s="138">
        <f t="shared" si="6"/>
        <v>44451</v>
      </c>
      <c r="J30" s="138">
        <f t="shared" si="6"/>
        <v>44452</v>
      </c>
      <c r="K30" s="139" t="s">
        <v>102</v>
      </c>
    </row>
    <row r="31" spans="1:11" ht="17" thickBot="1" x14ac:dyDescent="0.25">
      <c r="A31" s="182" t="s">
        <v>158</v>
      </c>
      <c r="B31" s="183"/>
      <c r="C31" s="140">
        <f>COUNTIF('Data entry form'!$AF$20:$AH$49,'Data entry form'!X19)</f>
        <v>0</v>
      </c>
      <c r="D31" s="140">
        <f>COUNTIF('Data entry form'!$AF$20:$AH$49,'Data entry form'!Y19)</f>
        <v>0</v>
      </c>
      <c r="E31" s="140">
        <f>COUNTIF('Data entry form'!$AF$20:$AH$49,'Data entry form'!Z19)</f>
        <v>0</v>
      </c>
      <c r="F31" s="140">
        <f>COUNTIF('Data entry form'!$AF$20:$AH$49,'Data entry form'!AA19)</f>
        <v>0</v>
      </c>
      <c r="G31" s="140">
        <f>COUNTIF('Data entry form'!$AF$20:$AH$49,'Data entry form'!AB19)</f>
        <v>0</v>
      </c>
      <c r="H31" s="140">
        <f>COUNTIF('Data entry form'!$AF$20:$AH$49,'Data entry form'!AC19)</f>
        <v>0</v>
      </c>
      <c r="I31" s="140">
        <f>COUNTIF('Data entry form'!$AF$20:$AH$49,'Data entry form'!AD19)</f>
        <v>0</v>
      </c>
      <c r="J31" s="140">
        <f>COUNTIF('Data entry form'!$AF$20:$AH$49,'Data entry form'!AE19)</f>
        <v>0</v>
      </c>
      <c r="K31" s="141">
        <f>SUM(C31:J31)</f>
        <v>0</v>
      </c>
    </row>
  </sheetData>
  <sheetProtection algorithmName="SHA-512" hashValue="ECxHh8XV0qmaf+fQGeVVpnuQs2EOkzqfpTg+Uso1jqLXemwdQaIIBqsl3RGU0wHEwLzWfwhu1LyblARG+MftrA==" saltValue="IIZTsO4SP9Tf+n+ITmDyjQ==" spinCount="100000" sheet="1" objects="1" scenarios="1" selectLockedCells="1" selectUnlockedCells="1"/>
  <mergeCells count="8">
    <mergeCell ref="A29:K29"/>
    <mergeCell ref="A30:B30"/>
    <mergeCell ref="A31:B31"/>
    <mergeCell ref="A3:K3"/>
    <mergeCell ref="A9:K9"/>
    <mergeCell ref="A22:B22"/>
    <mergeCell ref="C22:K22"/>
    <mergeCell ref="A20:B20"/>
  </mergeCells>
  <conditionalFormatting sqref="C16:J16">
    <cfRule type="expression" dxfId="41" priority="5">
      <formula>MOD(C16,2)&gt;0</formula>
    </cfRule>
  </conditionalFormatting>
  <conditionalFormatting sqref="C19:J19">
    <cfRule type="expression" dxfId="40" priority="2">
      <formula>MOD(C19,3)&gt;0</formula>
    </cfRule>
  </conditionalFormatting>
  <conditionalFormatting sqref="C17:J19">
    <cfRule type="expression" dxfId="39" priority="1">
      <formula>AND(C17&gt;0,HotelEJO&lt;&gt;"Mama Shelter")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F4E2-593F-4099-BAE7-C560CCA714F8}">
  <sheetPr>
    <pageSetUpPr fitToPage="1"/>
  </sheetPr>
  <dimension ref="A6:H40"/>
  <sheetViews>
    <sheetView zoomScaleNormal="100" workbookViewId="0">
      <selection activeCell="A6" sqref="A6:G6"/>
    </sheetView>
  </sheetViews>
  <sheetFormatPr baseColWidth="10" defaultColWidth="11.5" defaultRowHeight="15" x14ac:dyDescent="0.2"/>
  <cols>
    <col min="1" max="3" width="11.5" style="28"/>
    <col min="4" max="4" width="14.33203125" style="28" customWidth="1"/>
    <col min="5" max="6" width="11.5" style="28"/>
    <col min="7" max="7" width="15.33203125" style="28" customWidth="1"/>
    <col min="8" max="16384" width="11.5" style="28"/>
  </cols>
  <sheetData>
    <row r="6" spans="1:7" ht="26" x14ac:dyDescent="0.2">
      <c r="A6" s="199" t="s">
        <v>161</v>
      </c>
      <c r="B6" s="199"/>
      <c r="C6" s="199"/>
      <c r="D6" s="199"/>
      <c r="E6" s="199"/>
      <c r="F6" s="199"/>
      <c r="G6" s="199"/>
    </row>
    <row r="7" spans="1:7" ht="16" x14ac:dyDescent="0.2">
      <c r="A7" s="200" t="s">
        <v>149</v>
      </c>
      <c r="B7" s="200"/>
      <c r="C7" s="200"/>
      <c r="D7" s="200"/>
      <c r="E7" s="200"/>
      <c r="F7" s="200"/>
      <c r="G7" s="200"/>
    </row>
    <row r="10" spans="1:7" x14ac:dyDescent="0.2">
      <c r="A10" s="201" t="s">
        <v>125</v>
      </c>
      <c r="B10" s="201"/>
      <c r="C10" s="201"/>
      <c r="D10" s="87"/>
      <c r="F10" s="88" t="s">
        <v>124</v>
      </c>
      <c r="G10" s="88"/>
    </row>
    <row r="11" spans="1:7" x14ac:dyDescent="0.2">
      <c r="A11" s="202">
        <f>Federation</f>
        <v>0</v>
      </c>
      <c r="B11" s="202"/>
      <c r="C11" s="202"/>
      <c r="F11" s="89" t="s">
        <v>114</v>
      </c>
      <c r="G11" s="89"/>
    </row>
    <row r="12" spans="1:7" x14ac:dyDescent="0.2">
      <c r="A12" s="202" t="s">
        <v>112</v>
      </c>
      <c r="B12" s="202"/>
      <c r="C12" s="202"/>
      <c r="F12" s="89" t="s">
        <v>115</v>
      </c>
      <c r="G12" s="89"/>
    </row>
    <row r="13" spans="1:7" x14ac:dyDescent="0.2">
      <c r="A13" s="202" t="s">
        <v>112</v>
      </c>
      <c r="B13" s="202"/>
      <c r="C13" s="202"/>
      <c r="F13" s="89" t="s">
        <v>116</v>
      </c>
      <c r="G13" s="89"/>
    </row>
    <row r="14" spans="1:7" x14ac:dyDescent="0.2">
      <c r="A14" s="202" t="s">
        <v>112</v>
      </c>
      <c r="B14" s="202"/>
      <c r="C14" s="202"/>
      <c r="F14" s="89" t="s">
        <v>117</v>
      </c>
      <c r="G14" s="89"/>
    </row>
    <row r="16" spans="1:7" x14ac:dyDescent="0.2">
      <c r="F16" s="127" t="s">
        <v>152</v>
      </c>
      <c r="G16" s="128">
        <v>44417</v>
      </c>
    </row>
    <row r="17" spans="1:8" x14ac:dyDescent="0.2">
      <c r="F17" s="127"/>
      <c r="G17" s="128"/>
    </row>
    <row r="18" spans="1:8" x14ac:dyDescent="0.2">
      <c r="F18" s="127" t="s">
        <v>16</v>
      </c>
      <c r="G18" s="128">
        <f ca="1">TODAY()</f>
        <v>44400</v>
      </c>
    </row>
    <row r="19" spans="1:8" ht="21" x14ac:dyDescent="0.25">
      <c r="A19" s="137" t="s">
        <v>123</v>
      </c>
      <c r="B19" s="135"/>
      <c r="D19" s="203"/>
      <c r="E19" s="203"/>
      <c r="F19" s="203"/>
    </row>
    <row r="20" spans="1:8" ht="16" x14ac:dyDescent="0.2">
      <c r="A20" s="92" t="s">
        <v>160</v>
      </c>
    </row>
    <row r="21" spans="1:8" ht="16" thickBot="1" x14ac:dyDescent="0.25">
      <c r="F21" s="93"/>
    </row>
    <row r="22" spans="1:8" ht="16.25" customHeight="1" thickBot="1" x14ac:dyDescent="0.25">
      <c r="A22" s="94"/>
      <c r="B22" s="204" t="s">
        <v>110</v>
      </c>
      <c r="C22" s="205"/>
      <c r="D22" s="95" t="s">
        <v>38</v>
      </c>
      <c r="E22" s="96" t="s">
        <v>46</v>
      </c>
      <c r="F22" s="96" t="s">
        <v>111</v>
      </c>
      <c r="G22" s="97" t="s">
        <v>107</v>
      </c>
    </row>
    <row r="23" spans="1:8" x14ac:dyDescent="0.2">
      <c r="A23" s="191" t="s">
        <v>119</v>
      </c>
      <c r="B23" s="206" t="s">
        <v>56</v>
      </c>
      <c r="C23" s="206"/>
      <c r="D23" s="98" t="str">
        <f>IF(ISBLANK(HotelEJO),"",HotelEJO)</f>
        <v/>
      </c>
      <c r="E23" s="99" t="str">
        <f>IFERROR(VLOOKUP(D23&amp;", "&amp;B23,tblRoomPrices[],4,FALSE),"No Cat!")</f>
        <v>No Cat!</v>
      </c>
      <c r="F23" s="100">
        <f>COUNTIF('Data entry form'!$X$20:$AE$49,B23)</f>
        <v>0</v>
      </c>
      <c r="G23" s="101" t="e">
        <f>F23*E23</f>
        <v>#VALUE!</v>
      </c>
    </row>
    <row r="24" spans="1:8" x14ac:dyDescent="0.2">
      <c r="A24" s="192"/>
      <c r="B24" s="206"/>
      <c r="C24" s="206"/>
      <c r="D24" s="98"/>
      <c r="E24" s="99"/>
      <c r="F24" s="100"/>
      <c r="G24" s="102" t="str">
        <f ca="1">IF($G$18&gt;$G$16,G23*0.1,"")</f>
        <v/>
      </c>
      <c r="H24" s="28" t="str">
        <f ca="1">IF($G$18&gt;$G$16,"10% surcharge","")</f>
        <v/>
      </c>
    </row>
    <row r="25" spans="1:8" x14ac:dyDescent="0.2">
      <c r="A25" s="192"/>
      <c r="B25" s="190" t="s">
        <v>59</v>
      </c>
      <c r="C25" s="190"/>
      <c r="D25" s="118" t="str">
        <f>IF(ISBLANK(HotelEJO),"",HotelEJO)</f>
        <v/>
      </c>
      <c r="E25" s="99" t="str">
        <f>IFERROR(VLOOKUP(D25&amp;", "&amp;B25,tblRoomPrices[],4,FALSE),"No Cat!")</f>
        <v>No Cat!</v>
      </c>
      <c r="F25" s="100">
        <f>COUNTIF('Data entry form'!$X$20:$AE$49,B25)</f>
        <v>0</v>
      </c>
      <c r="G25" s="102" t="e">
        <f t="shared" ref="G25:G30" si="0">F25*E25</f>
        <v>#VALUE!</v>
      </c>
    </row>
    <row r="26" spans="1:8" x14ac:dyDescent="0.2">
      <c r="A26" s="192"/>
      <c r="B26" s="190"/>
      <c r="C26" s="190"/>
      <c r="D26" s="98"/>
      <c r="E26" s="99"/>
      <c r="F26" s="100"/>
      <c r="G26" s="102" t="str">
        <f ca="1">IF($G$18&gt;$G$16,G25*0.1,"")</f>
        <v/>
      </c>
      <c r="H26" s="28" t="str">
        <f ca="1">IF($G$18&gt;$G$16,"10% surcharge","")</f>
        <v/>
      </c>
    </row>
    <row r="27" spans="1:8" x14ac:dyDescent="0.2">
      <c r="A27" s="193"/>
      <c r="B27" s="190" t="str">
        <f>IF(HotelEJO="Mama Shelter","Triple","")</f>
        <v/>
      </c>
      <c r="C27" s="190"/>
      <c r="D27" s="118" t="str">
        <f>IF(HotelEJO="Mama Shelter",HotelEJO,"")</f>
        <v/>
      </c>
      <c r="E27" s="99" t="str">
        <f>IF(HotelEJO="Mama Shelter",VLOOKUP(D27&amp;", "&amp;B27,tblRoomPrices[],4,FALSE),"")</f>
        <v/>
      </c>
      <c r="F27" s="100" t="str">
        <f>IF(HotelEJO="Mama Shelter",COUNTIF('Data entry form'!$X$20:$AE$49,"Triple"),"")</f>
        <v/>
      </c>
      <c r="G27" s="102" t="str">
        <f>IF(HotelEJO="Mama Shelter",F27*E27,"")</f>
        <v/>
      </c>
    </row>
    <row r="28" spans="1:8" x14ac:dyDescent="0.2">
      <c r="A28" s="105"/>
      <c r="B28" s="190"/>
      <c r="C28" s="190"/>
      <c r="D28" s="118"/>
      <c r="E28" s="99"/>
      <c r="F28" s="100"/>
      <c r="G28" s="102" t="str">
        <f>IF(HotelEJO="Mama Shelter",IF($G$18&gt;$G$16,G27*0.1,""),"")</f>
        <v/>
      </c>
      <c r="H28" s="28" t="str">
        <f>IF(HotelEJO="Mama Shelter",IF($G$18&gt;$G$16,"10% surcharge",""),"")</f>
        <v/>
      </c>
    </row>
    <row r="29" spans="1:8" x14ac:dyDescent="0.2">
      <c r="A29" s="105"/>
      <c r="B29" s="190"/>
      <c r="C29" s="190"/>
      <c r="D29" s="98"/>
      <c r="E29" s="103"/>
      <c r="F29" s="104"/>
      <c r="G29" s="102"/>
    </row>
    <row r="30" spans="1:8" x14ac:dyDescent="0.2">
      <c r="A30" s="105" t="s">
        <v>146</v>
      </c>
      <c r="B30" s="190"/>
      <c r="C30" s="190"/>
      <c r="D30" s="106"/>
      <c r="E30" s="103">
        <v>100</v>
      </c>
      <c r="F30" s="104">
        <f>COUNTA('Data entry form'!AF20:AH49)</f>
        <v>0</v>
      </c>
      <c r="G30" s="102">
        <f>F30*E30</f>
        <v>0</v>
      </c>
    </row>
    <row r="31" spans="1:8" ht="16" thickBot="1" x14ac:dyDescent="0.25">
      <c r="A31" s="107"/>
      <c r="B31" s="196"/>
      <c r="C31" s="196"/>
      <c r="D31" s="108"/>
      <c r="E31" s="109"/>
      <c r="F31" s="110"/>
      <c r="G31" s="111">
        <f t="shared" ref="G31" si="1">E31*F31</f>
        <v>0</v>
      </c>
    </row>
    <row r="32" spans="1:8" ht="17" thickBot="1" x14ac:dyDescent="0.25">
      <c r="A32" s="197" t="s">
        <v>109</v>
      </c>
      <c r="B32" s="197"/>
      <c r="C32" s="197"/>
      <c r="D32" s="198"/>
      <c r="E32" s="198"/>
      <c r="F32" s="198"/>
      <c r="G32" s="112" t="e">
        <f>SUM(G23:G31)</f>
        <v>#VALUE!</v>
      </c>
    </row>
    <row r="33" spans="1:7" ht="16" thickTop="1" x14ac:dyDescent="0.2"/>
    <row r="34" spans="1:7" ht="16" x14ac:dyDescent="0.2">
      <c r="C34" s="129"/>
      <c r="D34" s="129"/>
      <c r="E34" s="129"/>
      <c r="F34" s="129"/>
      <c r="G34" s="113"/>
    </row>
    <row r="35" spans="1:7" ht="16" x14ac:dyDescent="0.2">
      <c r="A35" s="194" t="s">
        <v>118</v>
      </c>
      <c r="B35" s="195"/>
      <c r="C35" s="195"/>
      <c r="D35" s="195"/>
      <c r="E35" s="195"/>
      <c r="F35" s="195"/>
      <c r="G35" s="114"/>
    </row>
    <row r="36" spans="1:7" x14ac:dyDescent="0.2">
      <c r="A36" s="28" t="s">
        <v>127</v>
      </c>
      <c r="C36" s="28" t="s">
        <v>128</v>
      </c>
    </row>
    <row r="37" spans="1:7" x14ac:dyDescent="0.2">
      <c r="A37" s="28" t="s">
        <v>129</v>
      </c>
      <c r="C37" s="28" t="s">
        <v>130</v>
      </c>
    </row>
    <row r="38" spans="1:7" x14ac:dyDescent="0.2">
      <c r="A38" s="28" t="s">
        <v>131</v>
      </c>
      <c r="C38" s="28" t="s">
        <v>150</v>
      </c>
    </row>
    <row r="39" spans="1:7" x14ac:dyDescent="0.2">
      <c r="A39" s="28" t="s">
        <v>132</v>
      </c>
      <c r="C39" s="28" t="s">
        <v>133</v>
      </c>
    </row>
    <row r="40" spans="1:7" x14ac:dyDescent="0.2">
      <c r="A40" s="28" t="s">
        <v>134</v>
      </c>
      <c r="C40" s="28" t="s">
        <v>135</v>
      </c>
    </row>
  </sheetData>
  <sheetProtection algorithmName="SHA-512" hashValue="fd4GFM0WjcKueN+Uu14ESIRYU2CozzZtfIprW7EWcqQ+zFM0Ok6KBEqN0fEk8EFD13zF7FpXq3LtHB6YC/FUcw==" saltValue="RRBCQjJxig5h3WfzVXZB5A==" spinCount="100000" sheet="1" objects="1" scenarios="1" selectLockedCells="1" selectUnlockedCells="1"/>
  <mergeCells count="22">
    <mergeCell ref="D19:F19"/>
    <mergeCell ref="B22:C22"/>
    <mergeCell ref="B23:C23"/>
    <mergeCell ref="A13:C13"/>
    <mergeCell ref="B24:C24"/>
    <mergeCell ref="A14:C14"/>
    <mergeCell ref="A6:G6"/>
    <mergeCell ref="A7:G7"/>
    <mergeCell ref="A10:C10"/>
    <mergeCell ref="A11:C11"/>
    <mergeCell ref="A12:C12"/>
    <mergeCell ref="B29:C29"/>
    <mergeCell ref="A23:A27"/>
    <mergeCell ref="B28:C28"/>
    <mergeCell ref="A35:F35"/>
    <mergeCell ref="B30:C30"/>
    <mergeCell ref="B31:C31"/>
    <mergeCell ref="A32:C32"/>
    <mergeCell ref="D32:F32"/>
    <mergeCell ref="B25:C25"/>
    <mergeCell ref="B27:C27"/>
    <mergeCell ref="B26:C26"/>
  </mergeCells>
  <conditionalFormatting sqref="G16:G18">
    <cfRule type="expression" dxfId="38" priority="5">
      <formula>$G$18&gt;$G$16</formula>
    </cfRule>
  </conditionalFormatting>
  <conditionalFormatting sqref="A31">
    <cfRule type="expression" dxfId="37" priority="4">
      <formula>ISBLANK($B31)</formula>
    </cfRule>
  </conditionalFormatting>
  <conditionalFormatting sqref="G31">
    <cfRule type="expression" dxfId="36" priority="436">
      <formula>AND(ISBLANK($B31),$G31=0)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C76E-8B82-4234-ACB5-A87DC9B7244E}">
  <sheetPr>
    <pageSetUpPr fitToPage="1"/>
  </sheetPr>
  <dimension ref="A6:H40"/>
  <sheetViews>
    <sheetView topLeftCell="A4" zoomScaleNormal="100" workbookViewId="0">
      <selection activeCell="G16" sqref="G16"/>
    </sheetView>
  </sheetViews>
  <sheetFormatPr baseColWidth="10" defaultColWidth="11.5" defaultRowHeight="15" x14ac:dyDescent="0.2"/>
  <cols>
    <col min="1" max="3" width="11.5" style="28"/>
    <col min="4" max="4" width="14.33203125" style="28" customWidth="1"/>
    <col min="5" max="6" width="11.5" style="28"/>
    <col min="7" max="7" width="15.33203125" style="28" customWidth="1"/>
    <col min="8" max="16384" width="11.5" style="28"/>
  </cols>
  <sheetData>
    <row r="6" spans="1:7" ht="26" x14ac:dyDescent="0.2">
      <c r="A6" s="199" t="s">
        <v>148</v>
      </c>
      <c r="B6" s="199"/>
      <c r="C6" s="199"/>
      <c r="D6" s="199"/>
      <c r="E6" s="199"/>
      <c r="F6" s="199"/>
      <c r="G6" s="199"/>
    </row>
    <row r="7" spans="1:7" ht="16" x14ac:dyDescent="0.2">
      <c r="A7" s="200" t="s">
        <v>149</v>
      </c>
      <c r="B7" s="200"/>
      <c r="C7" s="200"/>
      <c r="D7" s="200"/>
      <c r="E7" s="200"/>
      <c r="F7" s="200"/>
      <c r="G7" s="200"/>
    </row>
    <row r="10" spans="1:7" x14ac:dyDescent="0.2">
      <c r="A10" s="201" t="s">
        <v>125</v>
      </c>
      <c r="B10" s="201"/>
      <c r="C10" s="201"/>
      <c r="D10" s="87"/>
      <c r="F10" s="132" t="s">
        <v>124</v>
      </c>
      <c r="G10" s="132"/>
    </row>
    <row r="11" spans="1:7" x14ac:dyDescent="0.2">
      <c r="A11" s="202">
        <f>Federation</f>
        <v>0</v>
      </c>
      <c r="B11" s="202"/>
      <c r="C11" s="202"/>
      <c r="F11" s="133" t="s">
        <v>114</v>
      </c>
      <c r="G11" s="133"/>
    </row>
    <row r="12" spans="1:7" x14ac:dyDescent="0.2">
      <c r="A12" s="202" t="s">
        <v>112</v>
      </c>
      <c r="B12" s="202"/>
      <c r="C12" s="202"/>
      <c r="F12" s="133" t="s">
        <v>115</v>
      </c>
      <c r="G12" s="133"/>
    </row>
    <row r="13" spans="1:7" x14ac:dyDescent="0.2">
      <c r="A13" s="202" t="s">
        <v>112</v>
      </c>
      <c r="B13" s="202"/>
      <c r="C13" s="202"/>
      <c r="F13" s="133" t="s">
        <v>116</v>
      </c>
      <c r="G13" s="133"/>
    </row>
    <row r="14" spans="1:7" x14ac:dyDescent="0.2">
      <c r="A14" s="202" t="s">
        <v>112</v>
      </c>
      <c r="B14" s="202"/>
      <c r="C14" s="202"/>
      <c r="F14" s="133" t="s">
        <v>117</v>
      </c>
      <c r="G14" s="133"/>
    </row>
    <row r="16" spans="1:7" x14ac:dyDescent="0.2">
      <c r="F16" s="127" t="s">
        <v>152</v>
      </c>
      <c r="G16" s="128">
        <v>44417</v>
      </c>
    </row>
    <row r="17" spans="1:8" x14ac:dyDescent="0.2">
      <c r="F17" s="127"/>
      <c r="G17" s="128"/>
    </row>
    <row r="18" spans="1:8" x14ac:dyDescent="0.2">
      <c r="F18" s="127" t="s">
        <v>16</v>
      </c>
      <c r="G18" s="128">
        <f ca="1">TODAY()</f>
        <v>44400</v>
      </c>
    </row>
    <row r="19" spans="1:8" ht="21" x14ac:dyDescent="0.25">
      <c r="A19" s="90" t="s">
        <v>153</v>
      </c>
      <c r="B19" s="91"/>
      <c r="D19" s="203"/>
      <c r="E19" s="203"/>
      <c r="F19" s="203"/>
    </row>
    <row r="20" spans="1:8" ht="16" x14ac:dyDescent="0.2">
      <c r="A20" s="92" t="s">
        <v>151</v>
      </c>
    </row>
    <row r="21" spans="1:8" ht="16" thickBot="1" x14ac:dyDescent="0.25">
      <c r="F21" s="93"/>
    </row>
    <row r="22" spans="1:8" ht="16.25" customHeight="1" thickBot="1" x14ac:dyDescent="0.25">
      <c r="A22" s="94"/>
      <c r="B22" s="204" t="s">
        <v>110</v>
      </c>
      <c r="C22" s="205"/>
      <c r="D22" s="95" t="s">
        <v>38</v>
      </c>
      <c r="E22" s="96" t="s">
        <v>46</v>
      </c>
      <c r="F22" s="96" t="s">
        <v>111</v>
      </c>
      <c r="G22" s="97" t="s">
        <v>107</v>
      </c>
    </row>
    <row r="23" spans="1:8" x14ac:dyDescent="0.2">
      <c r="A23" s="191" t="s">
        <v>119</v>
      </c>
      <c r="B23" s="206" t="s">
        <v>56</v>
      </c>
      <c r="C23" s="206"/>
      <c r="D23" s="134" t="str">
        <f>IF(ISBLANK(HotelEJO),"",HotelEJO)</f>
        <v/>
      </c>
      <c r="E23" s="99" t="str">
        <f>IFERROR(VLOOKUP(D23&amp;", "&amp;B23,tblRoomPrices[],4,FALSE),"No Cat!")</f>
        <v>No Cat!</v>
      </c>
      <c r="F23" s="100">
        <f>COUNTIF('Data entry form'!$X$20:$AE$49,B23)</f>
        <v>0</v>
      </c>
      <c r="G23" s="101" t="e">
        <f>F23*E23</f>
        <v>#VALUE!</v>
      </c>
    </row>
    <row r="24" spans="1:8" x14ac:dyDescent="0.2">
      <c r="A24" s="192"/>
      <c r="B24" s="206"/>
      <c r="C24" s="206"/>
      <c r="D24" s="134"/>
      <c r="E24" s="99"/>
      <c r="F24" s="100"/>
      <c r="G24" s="102" t="str">
        <f ca="1">IF($G$18&gt;$G$16,G23*0.1,"")</f>
        <v/>
      </c>
      <c r="H24" s="28" t="str">
        <f ca="1">IF($G$18&gt;$G$16,"10% surcharge","")</f>
        <v/>
      </c>
    </row>
    <row r="25" spans="1:8" x14ac:dyDescent="0.2">
      <c r="A25" s="192"/>
      <c r="B25" s="190" t="s">
        <v>59</v>
      </c>
      <c r="C25" s="190"/>
      <c r="D25" s="134" t="str">
        <f>IF(ISBLANK(HotelEJO),"",HotelEJO)</f>
        <v/>
      </c>
      <c r="E25" s="99" t="str">
        <f>IFERROR(VLOOKUP(D25&amp;", "&amp;B25,tblRoomPrices[],4,FALSE),"No Cat!")</f>
        <v>No Cat!</v>
      </c>
      <c r="F25" s="100">
        <f>COUNTIF('Data entry form'!$X$20:$AE$49,B25)</f>
        <v>0</v>
      </c>
      <c r="G25" s="102" t="e">
        <f t="shared" ref="G25:G30" si="0">F25*E25</f>
        <v>#VALUE!</v>
      </c>
    </row>
    <row r="26" spans="1:8" x14ac:dyDescent="0.2">
      <c r="A26" s="192"/>
      <c r="B26" s="190"/>
      <c r="C26" s="190"/>
      <c r="D26" s="134"/>
      <c r="E26" s="99"/>
      <c r="F26" s="100"/>
      <c r="G26" s="102" t="str">
        <f ca="1">IF($G$18&gt;$G$16,G25*0.1,"")</f>
        <v/>
      </c>
      <c r="H26" s="28" t="str">
        <f ca="1">IF($G$18&gt;$G$16,"10% surcharge","")</f>
        <v/>
      </c>
    </row>
    <row r="27" spans="1:8" x14ac:dyDescent="0.2">
      <c r="A27" s="193"/>
      <c r="B27" s="190" t="str">
        <f>IF(HotelEJO="Mama Shelter","Triple","")</f>
        <v/>
      </c>
      <c r="C27" s="190"/>
      <c r="D27" s="134" t="str">
        <f>IF(HotelEJO="Mama Shelter",HotelEJO,"")</f>
        <v/>
      </c>
      <c r="E27" s="99" t="str">
        <f>IF(HotelEJO="Mama Shelter",VLOOKUP(D27&amp;", "&amp;B27,tblRoomPrices[],4,FALSE),"")</f>
        <v/>
      </c>
      <c r="F27" s="100" t="str">
        <f>IF(HotelEJO="Mama Shelter",COUNTIF('Data entry form'!$X$20:$AE$49,"Triple"),"")</f>
        <v/>
      </c>
      <c r="G27" s="102" t="str">
        <f>IF(HotelEJO="Mama Shelter",F27*E27,"")</f>
        <v/>
      </c>
    </row>
    <row r="28" spans="1:8" x14ac:dyDescent="0.2">
      <c r="A28" s="105"/>
      <c r="B28" s="190"/>
      <c r="C28" s="190"/>
      <c r="D28" s="134"/>
      <c r="E28" s="99"/>
      <c r="F28" s="100"/>
      <c r="G28" s="102" t="str">
        <f>IF(HotelEJO="Mama Shelter",IF($G$18&gt;$G$16,G27*0.1,""),"")</f>
        <v/>
      </c>
      <c r="H28" s="28" t="str">
        <f>IF(HotelEJO="Mama Shelter",IF($G$18&gt;$G$16,"10% surcharge",""),"")</f>
        <v/>
      </c>
    </row>
    <row r="29" spans="1:8" x14ac:dyDescent="0.2">
      <c r="A29" s="105"/>
      <c r="B29" s="190"/>
      <c r="C29" s="190"/>
      <c r="D29" s="134"/>
      <c r="E29" s="103"/>
      <c r="F29" s="104"/>
      <c r="G29" s="102"/>
    </row>
    <row r="30" spans="1:8" x14ac:dyDescent="0.2">
      <c r="A30" s="105" t="s">
        <v>146</v>
      </c>
      <c r="B30" s="190"/>
      <c r="C30" s="190"/>
      <c r="D30" s="130"/>
      <c r="E30" s="103">
        <v>115</v>
      </c>
      <c r="F30" s="104">
        <f>COUNTA('Data entry form'!AF20:AH49)</f>
        <v>0</v>
      </c>
      <c r="G30" s="102">
        <f t="shared" si="0"/>
        <v>0</v>
      </c>
    </row>
    <row r="31" spans="1:8" ht="16" thickBot="1" x14ac:dyDescent="0.25">
      <c r="A31" s="107"/>
      <c r="B31" s="196"/>
      <c r="C31" s="196"/>
      <c r="D31" s="131"/>
      <c r="E31" s="109"/>
      <c r="F31" s="110"/>
      <c r="G31" s="111">
        <f t="shared" ref="G31" si="1">E31*F31</f>
        <v>0</v>
      </c>
    </row>
    <row r="32" spans="1:8" ht="17" thickBot="1" x14ac:dyDescent="0.25">
      <c r="A32" s="197" t="s">
        <v>109</v>
      </c>
      <c r="B32" s="197"/>
      <c r="C32" s="197"/>
      <c r="D32" s="198"/>
      <c r="E32" s="198"/>
      <c r="F32" s="198"/>
      <c r="G32" s="112" t="e">
        <f>SUM(G23:G31)</f>
        <v>#VALUE!</v>
      </c>
    </row>
    <row r="33" spans="1:7" ht="16" thickTop="1" x14ac:dyDescent="0.2"/>
    <row r="34" spans="1:7" ht="16" x14ac:dyDescent="0.2">
      <c r="C34" s="129"/>
      <c r="D34" s="129"/>
      <c r="E34" s="129"/>
      <c r="F34" s="129"/>
      <c r="G34" s="113"/>
    </row>
    <row r="35" spans="1:7" ht="16" x14ac:dyDescent="0.2">
      <c r="A35" s="194" t="s">
        <v>118</v>
      </c>
      <c r="B35" s="195"/>
      <c r="C35" s="195"/>
      <c r="D35" s="195"/>
      <c r="E35" s="195"/>
      <c r="F35" s="195"/>
      <c r="G35" s="114"/>
    </row>
    <row r="36" spans="1:7" x14ac:dyDescent="0.2">
      <c r="A36" s="28" t="s">
        <v>127</v>
      </c>
      <c r="C36" s="28" t="s">
        <v>128</v>
      </c>
    </row>
    <row r="37" spans="1:7" x14ac:dyDescent="0.2">
      <c r="A37" s="28" t="s">
        <v>129</v>
      </c>
      <c r="C37" s="28" t="s">
        <v>130</v>
      </c>
    </row>
    <row r="38" spans="1:7" x14ac:dyDescent="0.2">
      <c r="A38" s="28" t="s">
        <v>131</v>
      </c>
      <c r="C38" s="28" t="s">
        <v>150</v>
      </c>
    </row>
    <row r="39" spans="1:7" x14ac:dyDescent="0.2">
      <c r="A39" s="28" t="s">
        <v>132</v>
      </c>
      <c r="C39" s="28" t="s">
        <v>133</v>
      </c>
    </row>
    <row r="40" spans="1:7" x14ac:dyDescent="0.2">
      <c r="A40" s="28" t="s">
        <v>134</v>
      </c>
      <c r="C40" s="28" t="s">
        <v>135</v>
      </c>
    </row>
  </sheetData>
  <mergeCells count="22">
    <mergeCell ref="A13:C13"/>
    <mergeCell ref="A6:G6"/>
    <mergeCell ref="A7:G7"/>
    <mergeCell ref="A10:C10"/>
    <mergeCell ref="A11:C11"/>
    <mergeCell ref="A12:C12"/>
    <mergeCell ref="A14:C14"/>
    <mergeCell ref="D19:F19"/>
    <mergeCell ref="B22:C22"/>
    <mergeCell ref="A23:A27"/>
    <mergeCell ref="B23:C23"/>
    <mergeCell ref="B24:C24"/>
    <mergeCell ref="B25:C25"/>
    <mergeCell ref="B26:C26"/>
    <mergeCell ref="B27:C27"/>
    <mergeCell ref="A35:F35"/>
    <mergeCell ref="B28:C28"/>
    <mergeCell ref="B29:C29"/>
    <mergeCell ref="B30:C30"/>
    <mergeCell ref="B31:C31"/>
    <mergeCell ref="A32:C32"/>
    <mergeCell ref="D32:F32"/>
  </mergeCells>
  <conditionalFormatting sqref="G16:G18">
    <cfRule type="expression" dxfId="35" priority="2">
      <formula>$G$18&gt;$G$16</formula>
    </cfRule>
  </conditionalFormatting>
  <conditionalFormatting sqref="A31">
    <cfRule type="expression" dxfId="34" priority="1">
      <formula>ISBLANK($B31)</formula>
    </cfRule>
  </conditionalFormatting>
  <conditionalFormatting sqref="G31">
    <cfRule type="expression" dxfId="33" priority="3">
      <formula>AND(ISBLANK($B31),$G31=0)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88A-0F57-42C6-8574-9580CC3DB973}">
  <sheetPr>
    <tabColor theme="2" tint="-0.249977111117893"/>
  </sheetPr>
  <dimension ref="A1:BG55"/>
  <sheetViews>
    <sheetView topLeftCell="Q1" zoomScale="55" zoomScaleNormal="55" workbookViewId="0">
      <selection activeCell="Z46" sqref="Z46"/>
    </sheetView>
  </sheetViews>
  <sheetFormatPr baseColWidth="10" defaultColWidth="11.5" defaultRowHeight="16" x14ac:dyDescent="0.2"/>
  <cols>
    <col min="1" max="1" width="44.6640625" style="12" bestFit="1" customWidth="1"/>
    <col min="2" max="2" width="11" style="12" bestFit="1" customWidth="1"/>
    <col min="3" max="3" width="20.5" style="12" bestFit="1" customWidth="1"/>
    <col min="4" max="4" width="17.6640625" style="12" bestFit="1" customWidth="1"/>
    <col min="5" max="6" width="16.5" style="12" bestFit="1" customWidth="1"/>
    <col min="7" max="7" width="11.1640625" style="12" customWidth="1"/>
    <col min="8" max="8" width="5.5" style="12" customWidth="1"/>
    <col min="9" max="9" width="12.83203125" style="12" customWidth="1"/>
    <col min="10" max="10" width="5.5" style="12" customWidth="1"/>
    <col min="11" max="11" width="16.6640625" style="12" customWidth="1"/>
    <col min="12" max="12" width="5.5" style="12" customWidth="1"/>
    <col min="13" max="13" width="15.5" style="12" customWidth="1"/>
    <col min="14" max="14" width="5.5" style="12" customWidth="1"/>
    <col min="15" max="15" width="18.83203125" style="12" customWidth="1"/>
    <col min="16" max="16" width="5.5" style="12" customWidth="1"/>
    <col min="17" max="17" width="24.33203125" style="12" bestFit="1" customWidth="1"/>
    <col min="18" max="18" width="5.5" style="12" customWidth="1"/>
    <col min="19" max="19" width="24.6640625" style="12" bestFit="1" customWidth="1"/>
    <col min="20" max="20" width="5.5" style="12" customWidth="1"/>
    <col min="21" max="21" width="20.5" style="12" customWidth="1"/>
    <col min="22" max="22" width="5.5" style="12" customWidth="1"/>
    <col min="23" max="23" width="25.1640625" style="12" bestFit="1" customWidth="1"/>
    <col min="24" max="24" width="16.33203125" style="12" bestFit="1" customWidth="1"/>
    <col min="25" max="25" width="12.1640625" style="12" bestFit="1" customWidth="1"/>
    <col min="26" max="26" width="8.6640625" style="12" bestFit="1" customWidth="1"/>
    <col min="27" max="27" width="5.5" style="12" customWidth="1"/>
    <col min="28" max="28" width="25.1640625" style="12" bestFit="1" customWidth="1"/>
    <col min="29" max="29" width="9.5" style="12" bestFit="1" customWidth="1"/>
    <col min="30" max="30" width="15.5" style="12" customWidth="1"/>
    <col min="31" max="31" width="8.6640625" style="12" bestFit="1" customWidth="1"/>
    <col min="32" max="32" width="5.5" style="12" customWidth="1"/>
    <col min="33" max="33" width="19.33203125" style="12" bestFit="1" customWidth="1"/>
    <col min="34" max="35" width="12.33203125" style="12" customWidth="1"/>
    <col min="36" max="36" width="5.5" style="12" customWidth="1"/>
    <col min="37" max="37" width="26.33203125" style="12" bestFit="1" customWidth="1"/>
    <col min="38" max="39" width="11.5" style="12"/>
    <col min="40" max="40" width="9.33203125" style="12" bestFit="1" customWidth="1"/>
    <col min="41" max="41" width="11.5" style="12"/>
    <col min="42" max="42" width="5.5" style="12" customWidth="1"/>
    <col min="43" max="43" width="36.1640625" style="12" bestFit="1" customWidth="1"/>
    <col min="44" max="44" width="5.5" style="12" customWidth="1"/>
    <col min="45" max="45" width="19.6640625" style="12" bestFit="1" customWidth="1"/>
    <col min="46" max="46" width="9.6640625" style="12" bestFit="1" customWidth="1"/>
    <col min="47" max="47" width="13.5" style="12" bestFit="1" customWidth="1"/>
    <col min="48" max="48" width="96.5" style="12" customWidth="1"/>
    <col min="49" max="54" width="11.5" style="12"/>
    <col min="55" max="55" width="21.6640625" style="12" bestFit="1" customWidth="1"/>
    <col min="56" max="16384" width="11.5" style="12"/>
  </cols>
  <sheetData>
    <row r="1" spans="1:59" x14ac:dyDescent="0.2">
      <c r="A1" s="207" t="s">
        <v>33</v>
      </c>
      <c r="B1" s="207"/>
      <c r="C1" s="207"/>
      <c r="D1" s="207"/>
      <c r="E1" s="207"/>
      <c r="F1" s="207"/>
      <c r="G1" s="207"/>
      <c r="H1" s="26"/>
      <c r="I1" s="26"/>
      <c r="W1" s="207" t="s">
        <v>138</v>
      </c>
      <c r="X1" s="207"/>
      <c r="Y1" s="207"/>
      <c r="Z1" s="207"/>
      <c r="AB1" s="207" t="s">
        <v>139</v>
      </c>
      <c r="AC1" s="207"/>
      <c r="AD1" s="207"/>
      <c r="AE1" s="207"/>
      <c r="AG1" s="207" t="s">
        <v>72</v>
      </c>
      <c r="AH1" s="207"/>
      <c r="AI1" s="207"/>
      <c r="AK1" s="207" t="s">
        <v>34</v>
      </c>
      <c r="AL1" s="207"/>
      <c r="AM1" s="207"/>
      <c r="AN1" s="207"/>
      <c r="AO1" s="207"/>
      <c r="AP1" s="26"/>
      <c r="AQ1" s="26"/>
      <c r="AV1" s="13" t="s">
        <v>35</v>
      </c>
      <c r="AW1" s="208" t="s">
        <v>36</v>
      </c>
      <c r="AX1" s="208"/>
      <c r="AY1" s="208"/>
      <c r="AZ1" s="208"/>
      <c r="BB1" s="12" t="s">
        <v>37</v>
      </c>
    </row>
    <row r="2" spans="1:59" ht="26" x14ac:dyDescent="0.2">
      <c r="A2" s="13" t="s">
        <v>38</v>
      </c>
      <c r="B2" s="13" t="s">
        <v>28</v>
      </c>
      <c r="C2" s="13" t="s">
        <v>24</v>
      </c>
      <c r="D2" s="13" t="s">
        <v>25</v>
      </c>
      <c r="E2" s="13" t="s">
        <v>29</v>
      </c>
      <c r="F2" s="13" t="s">
        <v>27</v>
      </c>
      <c r="G2" s="13" t="s">
        <v>26</v>
      </c>
      <c r="H2" s="13"/>
      <c r="I2" s="13" t="s">
        <v>28</v>
      </c>
      <c r="K2" s="12" t="s">
        <v>144</v>
      </c>
      <c r="M2" s="12" t="s">
        <v>39</v>
      </c>
      <c r="O2" s="12" t="s">
        <v>40</v>
      </c>
      <c r="Q2" s="12" t="s">
        <v>41</v>
      </c>
      <c r="S2" s="12" t="s">
        <v>42</v>
      </c>
      <c r="U2" s="12" t="s">
        <v>43</v>
      </c>
      <c r="W2" s="12" t="s">
        <v>44</v>
      </c>
      <c r="X2" s="12" t="s">
        <v>69</v>
      </c>
      <c r="Y2" s="12" t="s">
        <v>45</v>
      </c>
      <c r="Z2" s="12" t="s">
        <v>46</v>
      </c>
      <c r="AB2" s="12" t="s">
        <v>44</v>
      </c>
      <c r="AC2" s="12" t="s">
        <v>69</v>
      </c>
      <c r="AD2" s="12" t="s">
        <v>73</v>
      </c>
      <c r="AE2" s="12" t="s">
        <v>46</v>
      </c>
      <c r="AG2" s="12" t="s">
        <v>44</v>
      </c>
      <c r="AH2" s="12" t="s">
        <v>47</v>
      </c>
      <c r="AI2" s="12" t="s">
        <v>48</v>
      </c>
      <c r="AK2" s="12" t="s">
        <v>44</v>
      </c>
      <c r="AL2" s="12" t="s">
        <v>69</v>
      </c>
      <c r="AM2" s="12" t="s">
        <v>45</v>
      </c>
      <c r="AN2" s="12" t="s">
        <v>47</v>
      </c>
      <c r="AO2" s="12" t="s">
        <v>46</v>
      </c>
      <c r="AQ2" s="12" t="s">
        <v>113</v>
      </c>
      <c r="AS2" s="13" t="s">
        <v>49</v>
      </c>
      <c r="AT2" s="13" t="s">
        <v>50</v>
      </c>
      <c r="AU2" s="13" t="s">
        <v>51</v>
      </c>
      <c r="AV2" s="27"/>
      <c r="AW2" s="209"/>
      <c r="AX2" s="209"/>
      <c r="AY2" s="209"/>
      <c r="AZ2" s="209"/>
      <c r="BA2" s="14"/>
      <c r="BB2" s="12" t="s">
        <v>52</v>
      </c>
      <c r="BC2" s="12" t="s">
        <v>53</v>
      </c>
      <c r="BF2" s="14"/>
      <c r="BG2" s="14"/>
    </row>
    <row r="3" spans="1:59" ht="16" customHeight="1" x14ac:dyDescent="0.2">
      <c r="A3" s="12" t="str">
        <f>tblWeightOrFunction[[#This Row],[SubType1]]&amp;", "&amp;tblWeightOrFunction[[#This Row],[Gender]]</f>
        <v>EJU-Referee, MALE</v>
      </c>
      <c r="B3" s="12" t="s">
        <v>54</v>
      </c>
      <c r="D3" s="12" t="s">
        <v>157</v>
      </c>
      <c r="E3" s="12" t="s">
        <v>122</v>
      </c>
      <c r="F3" s="12" t="s">
        <v>68</v>
      </c>
      <c r="G3" s="12">
        <v>1</v>
      </c>
      <c r="I3" s="12" t="s">
        <v>55</v>
      </c>
      <c r="K3" s="16">
        <v>44445</v>
      </c>
      <c r="M3" s="16">
        <v>44445</v>
      </c>
      <c r="O3" s="16">
        <v>44447</v>
      </c>
      <c r="Q3" s="12" t="s">
        <v>76</v>
      </c>
      <c r="S3" s="12" t="s">
        <v>30</v>
      </c>
      <c r="U3" s="12" t="s">
        <v>31</v>
      </c>
      <c r="W3" s="12" t="e">
        <f>tblRoomPrices[[#This Row],[Hotel]]&amp;", "&amp;tblRoomPrices[[#This Row],[Size]]</f>
        <v>#REF!</v>
      </c>
      <c r="X3" s="12" t="e">
        <f>#REF!</f>
        <v>#REF!</v>
      </c>
      <c r="Y3" s="12" t="s">
        <v>56</v>
      </c>
      <c r="Z3" s="17">
        <v>210</v>
      </c>
      <c r="AB3" s="12" t="e">
        <f>tblMealPricesEJO[[#This Row],[Hotel]]&amp;", "&amp;tblMealPricesEJO[[#This Row],[Meal]]</f>
        <v>#REF!</v>
      </c>
      <c r="AC3" s="12" t="e">
        <f>#REF!</f>
        <v>#REF!</v>
      </c>
      <c r="AD3" s="12" t="str">
        <f>"+lunch"</f>
        <v>+lunch</v>
      </c>
      <c r="AE3" s="17">
        <v>15</v>
      </c>
      <c r="AG3" s="12" t="str">
        <f>tblRoomAndLodgings[[#This Row],[Room]]&amp;" / "&amp;tblRoomAndLodgings[[#This Row],[Lodging]]</f>
        <v>Single / BB</v>
      </c>
      <c r="AH3" s="12" t="s">
        <v>57</v>
      </c>
      <c r="AI3" s="12" t="str">
        <f>$Y$3</f>
        <v>Single</v>
      </c>
      <c r="AK3" s="12" t="e">
        <f>tblAccommodationCosts[[#This Row],[Hotel]]&amp;", "&amp;tblAccommodationCosts[[#This Row],[Size]]&amp;" / "&amp;tblAccommodationCosts[[#This Row],[Lodging]]</f>
        <v>#REF!</v>
      </c>
      <c r="AL3" s="12" t="e">
        <f>#REF!</f>
        <v>#REF!</v>
      </c>
      <c r="AM3" s="12" t="str">
        <f>$Y$3</f>
        <v>Single</v>
      </c>
      <c r="AN3" s="20" t="str">
        <f>"only breakfast"</f>
        <v>only breakfast</v>
      </c>
      <c r="AO3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3" s="17"/>
      <c r="AQ3" s="12" t="s">
        <v>58</v>
      </c>
      <c r="AS3" s="17">
        <v>100</v>
      </c>
      <c r="AT3" s="17">
        <v>30</v>
      </c>
      <c r="AU3" s="17">
        <v>100</v>
      </c>
      <c r="AV3" s="210"/>
      <c r="AW3" s="18"/>
      <c r="AX3" s="18"/>
      <c r="AY3" s="18"/>
      <c r="AZ3" s="18"/>
      <c r="BA3" s="18"/>
      <c r="BF3" s="18"/>
      <c r="BG3" s="18"/>
    </row>
    <row r="4" spans="1:59" x14ac:dyDescent="0.2">
      <c r="A4" s="12" t="str">
        <f>tblWeightOrFunction[[#This Row],[SubType1]]&amp;", "&amp;tblWeightOrFunction[[#This Row],[Gender]]</f>
        <v>EJU-Referee, FEMALE</v>
      </c>
      <c r="B4" s="12" t="s">
        <v>55</v>
      </c>
      <c r="D4" s="12" t="s">
        <v>157</v>
      </c>
      <c r="E4" s="12" t="s">
        <v>122</v>
      </c>
      <c r="F4" s="12" t="s">
        <v>68</v>
      </c>
      <c r="G4" s="12">
        <v>2</v>
      </c>
      <c r="I4" s="12" t="s">
        <v>54</v>
      </c>
      <c r="K4" s="16">
        <v>44446</v>
      </c>
      <c r="M4" s="16">
        <v>44446</v>
      </c>
      <c r="O4" s="16">
        <v>44448</v>
      </c>
      <c r="S4" s="12" t="s">
        <v>32</v>
      </c>
      <c r="U4" s="12" t="s">
        <v>61</v>
      </c>
      <c r="W4" s="12" t="e">
        <f>tblRoomPrices[[#This Row],[Hotel]]&amp;", "&amp;tblRoomPrices[[#This Row],[Size]]</f>
        <v>#REF!</v>
      </c>
      <c r="X4" s="12" t="e">
        <f>X3</f>
        <v>#REF!</v>
      </c>
      <c r="Y4" s="12" t="s">
        <v>59</v>
      </c>
      <c r="Z4" s="17">
        <v>170</v>
      </c>
      <c r="AB4" s="12" t="e">
        <f>tblMealPricesEJO[[#This Row],[Hotel]]&amp;", "&amp;tblMealPricesEJO[[#This Row],[Meal]]</f>
        <v>#REF!</v>
      </c>
      <c r="AC4" s="12" t="e">
        <f>AC3</f>
        <v>#REF!</v>
      </c>
      <c r="AD4" s="12" t="str">
        <f>"+dinner"</f>
        <v>+dinner</v>
      </c>
      <c r="AE4" s="17">
        <v>25</v>
      </c>
      <c r="AG4" s="12" t="str">
        <f>tblRoomAndLodgings[[#This Row],[Room]]&amp;" / "&amp;tblRoomAndLodgings[[#This Row],[Lodging]]</f>
        <v>Single / only Lunch</v>
      </c>
      <c r="AH4" s="12" t="s">
        <v>70</v>
      </c>
      <c r="AI4" s="12" t="str">
        <f>$Y$3</f>
        <v>Single</v>
      </c>
      <c r="AK4" s="12" t="e">
        <f>tblAccommodationCosts[[#This Row],[Hotel]]&amp;", "&amp;tblAccommodationCosts[[#This Row],[Size]]&amp;" / "&amp;tblAccommodationCosts[[#This Row],[Lodging]]</f>
        <v>#REF!</v>
      </c>
      <c r="AL4" s="12" t="e">
        <f>AL3</f>
        <v>#REF!</v>
      </c>
      <c r="AM4" s="12" t="str">
        <f t="shared" ref="AM4:AM6" si="0">$Y$3</f>
        <v>Single</v>
      </c>
      <c r="AN4" s="12" t="str">
        <f>"+lunch"</f>
        <v>+lunch</v>
      </c>
      <c r="AO4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4" s="17"/>
      <c r="AQ4" s="17" t="s">
        <v>60</v>
      </c>
      <c r="AV4" s="211"/>
    </row>
    <row r="5" spans="1:59" x14ac:dyDescent="0.2">
      <c r="D5" s="19"/>
      <c r="K5" s="16">
        <v>44447</v>
      </c>
      <c r="M5" s="16">
        <v>44447</v>
      </c>
      <c r="O5" s="16">
        <v>44449</v>
      </c>
      <c r="W5" s="12" t="str">
        <f>tblRoomPrices[[#This Row],[Hotel]]&amp;", "&amp;tblRoomPrices[[#This Row],[Size]]</f>
        <v>0, Single</v>
      </c>
      <c r="X5" s="12">
        <f>$U$12</f>
        <v>0</v>
      </c>
      <c r="Y5" s="12" t="str">
        <f>Y3</f>
        <v>Single</v>
      </c>
      <c r="Z5" s="17">
        <v>190</v>
      </c>
      <c r="AB5" s="12" t="e">
        <f>tblMealPricesEJO[[#This Row],[Hotel]]&amp;", "&amp;tblMealPricesEJO[[#This Row],[Meal]]</f>
        <v>#REF!</v>
      </c>
      <c r="AC5" s="12" t="e">
        <f>AC4</f>
        <v>#REF!</v>
      </c>
      <c r="AD5" s="20" t="str">
        <f>"full board"</f>
        <v>full board</v>
      </c>
      <c r="AE5" s="17">
        <f>AE4+AE3</f>
        <v>40</v>
      </c>
      <c r="AG5" s="12" t="str">
        <f>tblRoomAndLodgings[[#This Row],[Room]]&amp;" / "&amp;tblRoomAndLodgings[[#This Row],[Lodging]]</f>
        <v>Single / only Dinner</v>
      </c>
      <c r="AH5" s="12" t="s">
        <v>71</v>
      </c>
      <c r="AI5" s="12" t="str">
        <f>$Y$3</f>
        <v>Single</v>
      </c>
      <c r="AK5" s="12" t="e">
        <f>tblAccommodationCosts[[#This Row],[Hotel]]&amp;", "&amp;tblAccommodationCosts[[#This Row],[Size]]&amp;" / "&amp;tblAccommodationCosts[[#This Row],[Lodging]]</f>
        <v>#REF!</v>
      </c>
      <c r="AL5" s="12" t="e">
        <f t="shared" ref="AL5:AL10" si="1">AL4</f>
        <v>#REF!</v>
      </c>
      <c r="AM5" s="12" t="str">
        <f t="shared" si="0"/>
        <v>Single</v>
      </c>
      <c r="AN5" s="12" t="str">
        <f>"+dinner"</f>
        <v>+dinner</v>
      </c>
      <c r="AO5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5" s="17"/>
      <c r="AQ5" s="17" t="s">
        <v>0</v>
      </c>
      <c r="AS5" s="13" t="s">
        <v>63</v>
      </c>
    </row>
    <row r="6" spans="1:59" x14ac:dyDescent="0.2">
      <c r="D6" s="19"/>
      <c r="K6" s="16">
        <v>44448</v>
      </c>
      <c r="M6" s="16">
        <v>44448</v>
      </c>
      <c r="O6" s="16">
        <v>44450</v>
      </c>
      <c r="W6" s="12" t="str">
        <f>tblRoomPrices[[#This Row],[Hotel]]&amp;", "&amp;tblRoomPrices[[#This Row],[Size]]</f>
        <v>0, Double</v>
      </c>
      <c r="X6" s="12">
        <f>X5</f>
        <v>0</v>
      </c>
      <c r="Y6" s="12" t="str">
        <f>Y4</f>
        <v>Double</v>
      </c>
      <c r="Z6" s="17">
        <v>155</v>
      </c>
      <c r="AB6" s="12" t="str">
        <f>tblMealPricesEJO[[#This Row],[Hotel]]&amp;", "&amp;tblMealPricesEJO[[#This Row],[Meal]]</f>
        <v>0, +lunch</v>
      </c>
      <c r="AC6" s="12">
        <f>$U$12</f>
        <v>0</v>
      </c>
      <c r="AD6" s="12" t="str">
        <f>"+lunch"</f>
        <v>+lunch</v>
      </c>
      <c r="AE6" s="17">
        <v>15</v>
      </c>
      <c r="AG6" s="12" t="str">
        <f>tblRoomAndLodgings[[#This Row],[Room]]&amp;" / "&amp;tblRoomAndLodgings[[#This Row],[Lodging]]</f>
        <v>Single / FB</v>
      </c>
      <c r="AH6" s="12" t="s">
        <v>62</v>
      </c>
      <c r="AI6" s="12" t="str">
        <f>$Y$3</f>
        <v>Single</v>
      </c>
      <c r="AK6" s="12" t="e">
        <f>tblAccommodationCosts[[#This Row],[Hotel]]&amp;", "&amp;tblAccommodationCosts[[#This Row],[Size]]&amp;" / "&amp;tblAccommodationCosts[[#This Row],[Lodging]]</f>
        <v>#REF!</v>
      </c>
      <c r="AL6" s="12" t="e">
        <f t="shared" si="1"/>
        <v>#REF!</v>
      </c>
      <c r="AM6" s="12" t="str">
        <f t="shared" si="0"/>
        <v>Single</v>
      </c>
      <c r="AN6" s="20" t="str">
        <f>"full board"</f>
        <v>full board</v>
      </c>
      <c r="AO6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6" s="17"/>
      <c r="AQ6" s="17" t="s">
        <v>64</v>
      </c>
      <c r="AS6" s="17">
        <v>20</v>
      </c>
    </row>
    <row r="7" spans="1:59" x14ac:dyDescent="0.2">
      <c r="D7" s="19"/>
      <c r="K7" s="16">
        <v>44449</v>
      </c>
      <c r="M7" s="16">
        <v>44449</v>
      </c>
      <c r="O7" s="16">
        <v>44451</v>
      </c>
      <c r="W7" s="12" t="str">
        <f>tblRoomPrices[[#This Row],[Hotel]]&amp;", "&amp;tblRoomPrices[[#This Row],[Size]]</f>
        <v>0, Triple</v>
      </c>
      <c r="X7" s="12">
        <f>X6</f>
        <v>0</v>
      </c>
      <c r="Y7" s="12" t="str">
        <f>"Triple"</f>
        <v>Triple</v>
      </c>
      <c r="Z7" s="17">
        <v>140</v>
      </c>
      <c r="AB7" s="12" t="str">
        <f>tblMealPricesEJO[[#This Row],[Hotel]]&amp;", "&amp;tblMealPricesEJO[[#This Row],[Meal]]</f>
        <v>0, +dinner</v>
      </c>
      <c r="AC7" s="12">
        <f>AC6</f>
        <v>0</v>
      </c>
      <c r="AD7" s="12" t="str">
        <f>"+dinner"</f>
        <v>+dinner</v>
      </c>
      <c r="AE7" s="17">
        <v>20</v>
      </c>
      <c r="AG7" s="12" t="str">
        <f>tblRoomAndLodgings[[#This Row],[Room]]&amp;" / "&amp;tblRoomAndLodgings[[#This Row],[Lodging]]</f>
        <v>Double / BB</v>
      </c>
      <c r="AH7" s="12" t="str">
        <f>AH3</f>
        <v>BB</v>
      </c>
      <c r="AI7" s="12" t="str">
        <f t="shared" ref="AI7:AI10" si="2">$Y$4</f>
        <v>Double</v>
      </c>
      <c r="AK7" s="12" t="e">
        <f>tblAccommodationCosts[[#This Row],[Hotel]]&amp;", "&amp;tblAccommodationCosts[[#This Row],[Size]]&amp;" / "&amp;tblAccommodationCosts[[#This Row],[Lodging]]</f>
        <v>#REF!</v>
      </c>
      <c r="AL7" s="12" t="e">
        <f t="shared" si="1"/>
        <v>#REF!</v>
      </c>
      <c r="AM7" s="12" t="str">
        <f t="shared" ref="AM7:AM10" si="3">$Y$4</f>
        <v>Double</v>
      </c>
      <c r="AN7" s="12" t="str">
        <f>AN3</f>
        <v>only breakfast</v>
      </c>
      <c r="AO7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7" s="17"/>
      <c r="AQ7" s="17" t="s">
        <v>66</v>
      </c>
    </row>
    <row r="8" spans="1:59" x14ac:dyDescent="0.2">
      <c r="D8" s="19"/>
      <c r="K8" s="16">
        <v>44450</v>
      </c>
      <c r="M8" s="16">
        <v>44450</v>
      </c>
      <c r="O8" s="16">
        <v>44452</v>
      </c>
      <c r="S8" s="12" t="s">
        <v>81</v>
      </c>
      <c r="W8" s="12" t="str">
        <f>tblRoomPrices[[#This Row],[Hotel]]&amp;", "&amp;tblRoomPrices[[#This Row],[Size]]</f>
        <v>D’Coque, Single</v>
      </c>
      <c r="X8" s="12" t="str">
        <f>U11</f>
        <v>D’Coque</v>
      </c>
      <c r="Y8" s="12" t="str">
        <f>Y5</f>
        <v>Single</v>
      </c>
      <c r="Z8" s="17">
        <v>150</v>
      </c>
      <c r="AB8" s="12" t="str">
        <f>tblMealPricesEJO[[#This Row],[Hotel]]&amp;", "&amp;tblMealPricesEJO[[#This Row],[Meal]]</f>
        <v>0, full board</v>
      </c>
      <c r="AC8" s="12">
        <f>AC7</f>
        <v>0</v>
      </c>
      <c r="AD8" s="20" t="str">
        <f>"full board"</f>
        <v>full board</v>
      </c>
      <c r="AE8" s="17">
        <f>AE7+AE6</f>
        <v>35</v>
      </c>
      <c r="AG8" s="12" t="str">
        <f>tblRoomAndLodgings[[#This Row],[Room]]&amp;" / "&amp;tblRoomAndLodgings[[#This Row],[Lodging]]</f>
        <v>Double / only Lunch</v>
      </c>
      <c r="AH8" s="12" t="str">
        <f t="shared" ref="AH8:AH14" si="4">AH4</f>
        <v>only Lunch</v>
      </c>
      <c r="AI8" s="12" t="str">
        <f t="shared" si="2"/>
        <v>Double</v>
      </c>
      <c r="AK8" s="12" t="e">
        <f>tblAccommodationCosts[[#This Row],[Hotel]]&amp;", "&amp;tblAccommodationCosts[[#This Row],[Size]]&amp;" / "&amp;tblAccommodationCosts[[#This Row],[Lodging]]</f>
        <v>#REF!</v>
      </c>
      <c r="AL8" s="12" t="e">
        <f t="shared" si="1"/>
        <v>#REF!</v>
      </c>
      <c r="AM8" s="12" t="str">
        <f t="shared" si="3"/>
        <v>Double</v>
      </c>
      <c r="AN8" s="12" t="str">
        <f t="shared" ref="AN8:AN30" si="5">AN4</f>
        <v>+lunch</v>
      </c>
      <c r="AO8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8" s="17"/>
      <c r="AQ8" s="17" t="s">
        <v>67</v>
      </c>
      <c r="AS8" s="13" t="s">
        <v>75</v>
      </c>
    </row>
    <row r="9" spans="1:59" x14ac:dyDescent="0.2">
      <c r="D9" s="19"/>
      <c r="K9" s="16">
        <v>44451</v>
      </c>
      <c r="M9" s="16">
        <v>44451</v>
      </c>
      <c r="O9" s="16"/>
      <c r="S9" s="12" t="s">
        <v>56</v>
      </c>
      <c r="W9" s="12" t="str">
        <f>tblRoomPrices[[#This Row],[Hotel]]&amp;", "&amp;tblRoomPrices[[#This Row],[Size]]</f>
        <v>D’Coque, Double</v>
      </c>
      <c r="X9" s="12" t="str">
        <f>U11</f>
        <v>D’Coque</v>
      </c>
      <c r="Y9" s="12" t="str">
        <f>Y6</f>
        <v>Double</v>
      </c>
      <c r="Z9" s="17">
        <v>115</v>
      </c>
      <c r="AB9" s="12" t="str">
        <f>tblMealPricesEJO[[#This Row],[Hotel]]&amp;", "&amp;tblMealPricesEJO[[#This Row],[Meal]]</f>
        <v>D’Coque, +lunch</v>
      </c>
      <c r="AC9" s="12" t="str">
        <f>$U$11</f>
        <v>D’Coque</v>
      </c>
      <c r="AD9" s="12" t="str">
        <f>"+lunch"</f>
        <v>+lunch</v>
      </c>
      <c r="AE9" s="17">
        <v>15</v>
      </c>
      <c r="AG9" s="12" t="str">
        <f>tblRoomAndLodgings[[#This Row],[Room]]&amp;" / "&amp;tblRoomAndLodgings[[#This Row],[Lodging]]</f>
        <v>Double / only Dinner</v>
      </c>
      <c r="AH9" s="12" t="str">
        <f t="shared" si="4"/>
        <v>only Dinner</v>
      </c>
      <c r="AI9" s="12" t="str">
        <f t="shared" si="2"/>
        <v>Double</v>
      </c>
      <c r="AK9" s="12" t="e">
        <f>tblAccommodationCosts[[#This Row],[Hotel]]&amp;", "&amp;tblAccommodationCosts[[#This Row],[Size]]&amp;" / "&amp;tblAccommodationCosts[[#This Row],[Lodging]]</f>
        <v>#REF!</v>
      </c>
      <c r="AL9" s="12" t="e">
        <f t="shared" si="1"/>
        <v>#REF!</v>
      </c>
      <c r="AM9" s="12" t="str">
        <f t="shared" si="3"/>
        <v>Double</v>
      </c>
      <c r="AN9" s="12" t="str">
        <f t="shared" si="5"/>
        <v>+dinner</v>
      </c>
      <c r="AO9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9" s="17"/>
      <c r="AQ9" s="17"/>
      <c r="AS9" s="17">
        <v>100</v>
      </c>
    </row>
    <row r="10" spans="1:59" x14ac:dyDescent="0.2">
      <c r="D10" s="19"/>
      <c r="K10" s="16">
        <v>44452</v>
      </c>
      <c r="M10" s="16"/>
      <c r="O10" s="16"/>
      <c r="S10" s="12" t="s">
        <v>59</v>
      </c>
      <c r="U10" s="12" t="s">
        <v>74</v>
      </c>
      <c r="Z10" s="17"/>
      <c r="AB10" s="12" t="str">
        <f>tblMealPricesEJO[[#This Row],[Hotel]]&amp;", "&amp;tblMealPricesEJO[[#This Row],[Meal]]</f>
        <v>D’Coque, +dinner</v>
      </c>
      <c r="AC10" s="12" t="str">
        <f>AC9</f>
        <v>D’Coque</v>
      </c>
      <c r="AD10" s="12" t="str">
        <f>"+dinner"</f>
        <v>+dinner</v>
      </c>
      <c r="AE10" s="17">
        <v>15</v>
      </c>
      <c r="AG10" s="12" t="str">
        <f>tblRoomAndLodgings[[#This Row],[Room]]&amp;" / "&amp;tblRoomAndLodgings[[#This Row],[Lodging]]</f>
        <v>Double / FB</v>
      </c>
      <c r="AH10" s="12" t="str">
        <f t="shared" si="4"/>
        <v>FB</v>
      </c>
      <c r="AI10" s="12" t="str">
        <f t="shared" si="2"/>
        <v>Double</v>
      </c>
      <c r="AK10" s="12" t="e">
        <f>tblAccommodationCosts[[#This Row],[Hotel]]&amp;", "&amp;tblAccommodationCosts[[#This Row],[Size]]&amp;" / "&amp;tblAccommodationCosts[[#This Row],[Lodging]]</f>
        <v>#REF!</v>
      </c>
      <c r="AL10" s="12" t="e">
        <f t="shared" si="1"/>
        <v>#REF!</v>
      </c>
      <c r="AM10" s="12" t="str">
        <f t="shared" si="3"/>
        <v>Double</v>
      </c>
      <c r="AN10" s="12" t="str">
        <f t="shared" si="5"/>
        <v>full board</v>
      </c>
      <c r="AO10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#REF!</v>
      </c>
      <c r="AP10" s="17"/>
      <c r="AQ10" s="17"/>
    </row>
    <row r="11" spans="1:59" x14ac:dyDescent="0.2">
      <c r="D11" s="19"/>
      <c r="M11" s="16"/>
      <c r="S11" s="12" t="s">
        <v>108</v>
      </c>
      <c r="U11" s="12" t="s">
        <v>137</v>
      </c>
      <c r="Z11" s="17"/>
      <c r="AB11" s="12" t="str">
        <f>tblMealPricesEJO[[#This Row],[Hotel]]&amp;", "&amp;tblMealPricesEJO[[#This Row],[Meal]]</f>
        <v>D’Coque, full board</v>
      </c>
      <c r="AC11" s="12" t="str">
        <f>AC10</f>
        <v>D’Coque</v>
      </c>
      <c r="AD11" s="20" t="str">
        <f>"full board"</f>
        <v>full board</v>
      </c>
      <c r="AE11" s="17">
        <f>AE10+AE9</f>
        <v>30</v>
      </c>
      <c r="AG11" s="12" t="str">
        <f>tblRoomAndLodgings[[#This Row],[Room]]&amp;" / "&amp;tblRoomAndLodgings[[#This Row],[Lodging]]</f>
        <v>Shared / BB</v>
      </c>
      <c r="AH11" s="12" t="str">
        <f t="shared" si="4"/>
        <v>BB</v>
      </c>
      <c r="AI11" s="12" t="s">
        <v>65</v>
      </c>
      <c r="AK11" s="12" t="str">
        <f>tblAccommodationCosts[[#This Row],[Hotel]]&amp;", "&amp;tblAccommodationCosts[[#This Row],[Size]]&amp;" / "&amp;tblAccommodationCosts[[#This Row],[Lodging]]</f>
        <v>0, Single / only breakfast</v>
      </c>
      <c r="AL11" s="12">
        <f>$U$12</f>
        <v>0</v>
      </c>
      <c r="AM11" s="12" t="str">
        <f>$Y$3</f>
        <v>Single</v>
      </c>
      <c r="AN11" s="12" t="str">
        <f t="shared" si="5"/>
        <v>only breakfast</v>
      </c>
      <c r="AO11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190</v>
      </c>
      <c r="AP11" s="17"/>
      <c r="AQ11" s="17"/>
      <c r="AS11" s="13"/>
    </row>
    <row r="12" spans="1:59" x14ac:dyDescent="0.2">
      <c r="D12" s="19"/>
      <c r="S12" s="12" t="s">
        <v>65</v>
      </c>
      <c r="Z12" s="17"/>
      <c r="AB12" s="12" t="e">
        <f>tblMealPricesEJO[[#This Row],[Hotel]]&amp;", "&amp;tblMealPricesEJO[[#This Row],[Meal]]</f>
        <v>#REF!</v>
      </c>
      <c r="AC12" s="12" t="e">
        <f>#REF!</f>
        <v>#REF!</v>
      </c>
      <c r="AD12" s="20" t="str">
        <f>$S$23</f>
        <v>only breakfast</v>
      </c>
      <c r="AE12" s="17">
        <v>0</v>
      </c>
      <c r="AG12" s="22" t="str">
        <f>tblRoomAndLodgings[[#This Row],[Room]]&amp;" / "&amp;tblRoomAndLodgings[[#This Row],[Lodging]]</f>
        <v>Shared / only Lunch</v>
      </c>
      <c r="AH12" s="12" t="str">
        <f t="shared" si="4"/>
        <v>only Lunch</v>
      </c>
      <c r="AI12" s="12" t="s">
        <v>65</v>
      </c>
      <c r="AK12" s="12" t="str">
        <f>tblAccommodationCosts[[#This Row],[Hotel]]&amp;", "&amp;tblAccommodationCosts[[#This Row],[Size]]&amp;" / "&amp;tblAccommodationCosts[[#This Row],[Lodging]]</f>
        <v>0, Single / +lunch</v>
      </c>
      <c r="AL12" s="12">
        <f>AL11</f>
        <v>0</v>
      </c>
      <c r="AM12" s="12" t="str">
        <f t="shared" ref="AM12:AM14" si="6">$Y$3</f>
        <v>Single</v>
      </c>
      <c r="AN12" s="12" t="str">
        <f t="shared" si="5"/>
        <v>+lunch</v>
      </c>
      <c r="AO12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205</v>
      </c>
      <c r="AP12" s="17"/>
      <c r="AQ12" s="17"/>
      <c r="AS12" s="17"/>
    </row>
    <row r="13" spans="1:59" x14ac:dyDescent="0.2">
      <c r="D13" s="19"/>
      <c r="Z13" s="17"/>
      <c r="AB13" s="12" t="str">
        <f>tblMealPricesEJO[[#This Row],[Hotel]]&amp;", "&amp;tblMealPricesEJO[[#This Row],[Meal]]</f>
        <v>0, only breakfast</v>
      </c>
      <c r="AC13" s="12">
        <f t="shared" ref="AC13" si="7">U12</f>
        <v>0</v>
      </c>
      <c r="AD13" s="20" t="str">
        <f>$S$23</f>
        <v>only breakfast</v>
      </c>
      <c r="AE13" s="17">
        <v>0</v>
      </c>
      <c r="AG13" s="22" t="str">
        <f>tblRoomAndLodgings[[#This Row],[Room]]&amp;" / "&amp;tblRoomAndLodgings[[#This Row],[Lodging]]</f>
        <v>Shared / only Dinner</v>
      </c>
      <c r="AH13" s="12" t="str">
        <f t="shared" si="4"/>
        <v>only Dinner</v>
      </c>
      <c r="AI13" s="12" t="s">
        <v>65</v>
      </c>
      <c r="AK13" s="12" t="str">
        <f>tblAccommodationCosts[[#This Row],[Hotel]]&amp;", "&amp;tblAccommodationCosts[[#This Row],[Size]]&amp;" / "&amp;tblAccommodationCosts[[#This Row],[Lodging]]</f>
        <v>0, Single / +dinner</v>
      </c>
      <c r="AL13" s="12">
        <f t="shared" ref="AL13:AL30" si="8">AL12</f>
        <v>0</v>
      </c>
      <c r="AM13" s="12" t="str">
        <f t="shared" si="6"/>
        <v>Single</v>
      </c>
      <c r="AN13" s="12" t="str">
        <f t="shared" si="5"/>
        <v>+dinner</v>
      </c>
      <c r="AO13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210</v>
      </c>
      <c r="AP13" s="17"/>
      <c r="AQ13" s="17"/>
    </row>
    <row r="14" spans="1:59" x14ac:dyDescent="0.2">
      <c r="D14" s="19"/>
      <c r="Z14" s="17"/>
      <c r="AB14" s="12" t="str">
        <f>tblMealPricesEJO[[#This Row],[Hotel]]&amp;", "&amp;tblMealPricesEJO[[#This Row],[Meal]]</f>
        <v>D’Coque, only breakfast</v>
      </c>
      <c r="AC14" s="12" t="str">
        <f>U11</f>
        <v>D’Coque</v>
      </c>
      <c r="AD14" s="20" t="str">
        <f>$S$23</f>
        <v>only breakfast</v>
      </c>
      <c r="AE14" s="17">
        <v>0</v>
      </c>
      <c r="AG14" s="22" t="str">
        <f>tblRoomAndLodgings[[#This Row],[Room]]&amp;" / "&amp;tblRoomAndLodgings[[#This Row],[Lodging]]</f>
        <v>Shared / FB</v>
      </c>
      <c r="AH14" s="12" t="str">
        <f t="shared" si="4"/>
        <v>FB</v>
      </c>
      <c r="AI14" s="12" t="s">
        <v>65</v>
      </c>
      <c r="AK14" s="12" t="str">
        <f>tblAccommodationCosts[[#This Row],[Hotel]]&amp;", "&amp;tblAccommodationCosts[[#This Row],[Size]]&amp;" / "&amp;tblAccommodationCosts[[#This Row],[Lodging]]</f>
        <v>0, Single / full board</v>
      </c>
      <c r="AL14" s="12">
        <f t="shared" si="8"/>
        <v>0</v>
      </c>
      <c r="AM14" s="12" t="str">
        <f t="shared" si="6"/>
        <v>Single</v>
      </c>
      <c r="AN14" s="12" t="str">
        <f t="shared" si="5"/>
        <v>full board</v>
      </c>
      <c r="AO14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225</v>
      </c>
      <c r="AP14" s="17"/>
      <c r="AQ14" s="17"/>
    </row>
    <row r="15" spans="1:59" x14ac:dyDescent="0.2">
      <c r="D15" s="19"/>
      <c r="S15" s="12" t="s">
        <v>82</v>
      </c>
      <c r="Z15" s="17"/>
      <c r="AC15" s="21"/>
      <c r="AD15" s="20"/>
      <c r="AE15" s="17"/>
      <c r="AG15" s="22"/>
      <c r="AK15" s="12" t="str">
        <f>tblAccommodationCosts[[#This Row],[Hotel]]&amp;", "&amp;tblAccommodationCosts[[#This Row],[Size]]&amp;" / "&amp;tblAccommodationCosts[[#This Row],[Lodging]]</f>
        <v>0, Double / only breakfast</v>
      </c>
      <c r="AL15" s="12">
        <f t="shared" si="8"/>
        <v>0</v>
      </c>
      <c r="AM15" s="12" t="str">
        <f t="shared" ref="AM15:AM18" si="9">$Y$4</f>
        <v>Double</v>
      </c>
      <c r="AN15" s="12" t="str">
        <f t="shared" si="5"/>
        <v>only breakfast</v>
      </c>
      <c r="AO15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155</v>
      </c>
      <c r="AP15" s="17"/>
      <c r="AQ15" s="17"/>
    </row>
    <row r="16" spans="1:59" x14ac:dyDescent="0.2">
      <c r="D16" s="19"/>
      <c r="S16" s="12" t="s">
        <v>84</v>
      </c>
      <c r="Z16" s="17"/>
      <c r="AC16" s="21"/>
      <c r="AD16" s="20"/>
      <c r="AE16" s="17"/>
      <c r="AK16" s="12" t="str">
        <f>tblAccommodationCosts[[#This Row],[Hotel]]&amp;", "&amp;tblAccommodationCosts[[#This Row],[Size]]&amp;" / "&amp;tblAccommodationCosts[[#This Row],[Lodging]]</f>
        <v>0, Double / +lunch</v>
      </c>
      <c r="AL16" s="12">
        <f t="shared" si="8"/>
        <v>0</v>
      </c>
      <c r="AM16" s="12" t="str">
        <f t="shared" si="9"/>
        <v>Double</v>
      </c>
      <c r="AN16" s="12" t="str">
        <f t="shared" si="5"/>
        <v>+lunch</v>
      </c>
      <c r="AO16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170</v>
      </c>
      <c r="AP16" s="17"/>
      <c r="AQ16" s="17"/>
      <c r="AS16" s="17"/>
    </row>
    <row r="17" spans="1:43" x14ac:dyDescent="0.2">
      <c r="D17" s="19"/>
      <c r="S17" s="19" t="s">
        <v>86</v>
      </c>
      <c r="AC17" s="21"/>
      <c r="AD17" s="20"/>
      <c r="AE17" s="17"/>
      <c r="AK17" s="12" t="str">
        <f>tblAccommodationCosts[[#This Row],[Hotel]]&amp;", "&amp;tblAccommodationCosts[[#This Row],[Size]]&amp;" / "&amp;tblAccommodationCosts[[#This Row],[Lodging]]</f>
        <v>0, Double / +dinner</v>
      </c>
      <c r="AL17" s="12">
        <f t="shared" si="8"/>
        <v>0</v>
      </c>
      <c r="AM17" s="12" t="str">
        <f t="shared" si="9"/>
        <v>Double</v>
      </c>
      <c r="AN17" s="12" t="str">
        <f t="shared" si="5"/>
        <v>+dinner</v>
      </c>
      <c r="AO17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175</v>
      </c>
      <c r="AP17" s="17"/>
      <c r="AQ17" s="17"/>
    </row>
    <row r="18" spans="1:43" x14ac:dyDescent="0.2">
      <c r="D18" s="19"/>
      <c r="S18" s="19" t="s">
        <v>87</v>
      </c>
      <c r="U18" s="12" t="s">
        <v>79</v>
      </c>
      <c r="AC18" s="21"/>
      <c r="AD18" s="20"/>
      <c r="AE18" s="17"/>
      <c r="AK18" s="22" t="str">
        <f>tblAccommodationCosts[[#This Row],[Hotel]]&amp;", "&amp;tblAccommodationCosts[[#This Row],[Size]]&amp;" / "&amp;tblAccommodationCosts[[#This Row],[Lodging]]</f>
        <v>0, Double / full board</v>
      </c>
      <c r="AL18" s="12">
        <f t="shared" si="8"/>
        <v>0</v>
      </c>
      <c r="AM18" s="12" t="str">
        <f t="shared" si="9"/>
        <v>Double</v>
      </c>
      <c r="AN18" s="12" t="str">
        <f t="shared" si="5"/>
        <v>full board</v>
      </c>
      <c r="AO18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190</v>
      </c>
      <c r="AP18" s="17"/>
      <c r="AQ18" s="17"/>
    </row>
    <row r="19" spans="1:43" ht="17" thickBot="1" x14ac:dyDescent="0.25">
      <c r="A19" s="22"/>
      <c r="B19" s="15"/>
      <c r="F19" s="22"/>
      <c r="Q19" s="23" t="s">
        <v>90</v>
      </c>
      <c r="S19" s="12" t="s">
        <v>83</v>
      </c>
      <c r="U19" s="12" t="str">
        <f>U11</f>
        <v>D’Coque</v>
      </c>
      <c r="AK19" s="22" t="str">
        <f>tblAccommodationCosts[[#This Row],[Hotel]]&amp;", "&amp;tblAccommodationCosts[[#This Row],[Size]]&amp;" / "&amp;tblAccommodationCosts[[#This Row],[Lodging]]</f>
        <v>D’Coque, Single / only breakfast</v>
      </c>
      <c r="AL19" s="12" t="str">
        <f>$U$11</f>
        <v>D’Coque</v>
      </c>
      <c r="AM19" s="12" t="str">
        <f>$Y$3</f>
        <v>Single</v>
      </c>
      <c r="AN19" s="12" t="str">
        <f t="shared" si="5"/>
        <v>only breakfast</v>
      </c>
      <c r="AO19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150</v>
      </c>
      <c r="AP19" s="17"/>
    </row>
    <row r="20" spans="1:43" ht="17" thickTop="1" x14ac:dyDescent="0.2">
      <c r="A20" s="22"/>
      <c r="F20" s="22"/>
      <c r="Q20" s="24" t="s">
        <v>89</v>
      </c>
      <c r="U20" s="12">
        <f>U12</f>
        <v>0</v>
      </c>
      <c r="AK20" s="22" t="str">
        <f>tblAccommodationCosts[[#This Row],[Hotel]]&amp;", "&amp;tblAccommodationCosts[[#This Row],[Size]]&amp;" / "&amp;tblAccommodationCosts[[#This Row],[Lodging]]</f>
        <v>D’Coque, Single / +lunch</v>
      </c>
      <c r="AL20" s="12" t="str">
        <f t="shared" si="8"/>
        <v>D’Coque</v>
      </c>
      <c r="AM20" s="12" t="str">
        <f t="shared" ref="AM20:AM22" si="10">$Y$3</f>
        <v>Single</v>
      </c>
      <c r="AN20" s="12" t="str">
        <f t="shared" si="5"/>
        <v>+lunch</v>
      </c>
      <c r="AO20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165</v>
      </c>
      <c r="AP20" s="17"/>
    </row>
    <row r="21" spans="1:43" x14ac:dyDescent="0.2">
      <c r="A21" s="22"/>
      <c r="B21" s="15"/>
      <c r="F21" s="22"/>
      <c r="AK21" s="22" t="str">
        <f>tblAccommodationCosts[[#This Row],[Hotel]]&amp;", "&amp;tblAccommodationCosts[[#This Row],[Size]]&amp;" / "&amp;tblAccommodationCosts[[#This Row],[Lodging]]</f>
        <v>D’Coque, Single / +dinner</v>
      </c>
      <c r="AL21" s="12" t="str">
        <f t="shared" si="8"/>
        <v>D’Coque</v>
      </c>
      <c r="AM21" s="12" t="str">
        <f t="shared" si="10"/>
        <v>Single</v>
      </c>
      <c r="AN21" s="12" t="str">
        <f t="shared" si="5"/>
        <v>+dinner</v>
      </c>
      <c r="AO21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165</v>
      </c>
    </row>
    <row r="22" spans="1:43" x14ac:dyDescent="0.2">
      <c r="A22" s="22"/>
      <c r="F22" s="22"/>
      <c r="S22" s="12" t="s">
        <v>85</v>
      </c>
      <c r="W22" s="207" t="s">
        <v>77</v>
      </c>
      <c r="X22" s="207"/>
      <c r="Y22" s="207"/>
      <c r="Z22" s="207"/>
      <c r="AB22" s="207" t="s">
        <v>92</v>
      </c>
      <c r="AC22" s="207"/>
      <c r="AD22" s="207"/>
      <c r="AE22" s="207"/>
      <c r="AK22" s="22" t="str">
        <f>tblAccommodationCosts[[#This Row],[Hotel]]&amp;", "&amp;tblAccommodationCosts[[#This Row],[Size]]&amp;" / "&amp;tblAccommodationCosts[[#This Row],[Lodging]]</f>
        <v>D’Coque, Single / full board</v>
      </c>
      <c r="AL22" s="12" t="str">
        <f t="shared" si="8"/>
        <v>D’Coque</v>
      </c>
      <c r="AM22" s="12" t="str">
        <f t="shared" si="10"/>
        <v>Single</v>
      </c>
      <c r="AN22" s="12" t="str">
        <f t="shared" si="5"/>
        <v>full board</v>
      </c>
      <c r="AO22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180</v>
      </c>
    </row>
    <row r="23" spans="1:43" x14ac:dyDescent="0.2">
      <c r="A23" s="22"/>
      <c r="B23" s="15"/>
      <c r="F23" s="22"/>
      <c r="S23" s="12" t="s">
        <v>84</v>
      </c>
      <c r="W23" s="12" t="s">
        <v>44</v>
      </c>
      <c r="X23" s="12" t="s">
        <v>69</v>
      </c>
      <c r="Y23" s="12" t="s">
        <v>45</v>
      </c>
      <c r="Z23" s="12" t="s">
        <v>46</v>
      </c>
      <c r="AB23" s="12" t="s">
        <v>44</v>
      </c>
      <c r="AC23" s="12" t="s">
        <v>69</v>
      </c>
      <c r="AD23" s="12" t="s">
        <v>73</v>
      </c>
      <c r="AE23" s="12" t="s">
        <v>46</v>
      </c>
      <c r="AK23" s="22" t="str">
        <f>tblAccommodationCosts[[#This Row],[Hotel]]&amp;", "&amp;tblAccommodationCosts[[#This Row],[Size]]&amp;" / "&amp;tblAccommodationCosts[[#This Row],[Lodging]]</f>
        <v>D’Coque, Double / only breakfast</v>
      </c>
      <c r="AL23" s="12" t="str">
        <f t="shared" si="8"/>
        <v>D’Coque</v>
      </c>
      <c r="AM23" s="12" t="str">
        <f t="shared" ref="AM23:AM26" si="11">$Y$4</f>
        <v>Double</v>
      </c>
      <c r="AN23" s="12" t="str">
        <f t="shared" si="5"/>
        <v>only breakfast</v>
      </c>
      <c r="AO23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115</v>
      </c>
    </row>
    <row r="24" spans="1:43" x14ac:dyDescent="0.2">
      <c r="A24" s="22"/>
      <c r="F24" s="22"/>
      <c r="S24" s="12" t="s">
        <v>83</v>
      </c>
      <c r="W24" s="12" t="str">
        <f>tblRoomPricesTC[[#This Row],[Hotel]]&amp;", "&amp;tblRoomPricesTC[[#This Row],[Size]]</f>
        <v>D’Coque, Single</v>
      </c>
      <c r="X24" s="12" t="str">
        <f>$U$11</f>
        <v>D’Coque</v>
      </c>
      <c r="Y24" s="12" t="s">
        <v>56</v>
      </c>
      <c r="Z24" s="17">
        <v>110</v>
      </c>
      <c r="AB24" s="12" t="e">
        <f>tblMealPricesSunday[[#This Row],[Hotel]]&amp;", "&amp;tblMealPricesSunday[[#This Row],[Meal]]</f>
        <v>#REF!</v>
      </c>
      <c r="AC24" s="12" t="e">
        <f>#REF!</f>
        <v>#REF!</v>
      </c>
      <c r="AD24" s="12" t="str">
        <f>"+lunch"</f>
        <v>+lunch</v>
      </c>
      <c r="AE24" s="17">
        <v>15</v>
      </c>
      <c r="AH24" s="17"/>
      <c r="AK24" s="22" t="str">
        <f>tblAccommodationCosts[[#This Row],[Hotel]]&amp;", "&amp;tblAccommodationCosts[[#This Row],[Size]]&amp;" / "&amp;tblAccommodationCosts[[#This Row],[Lodging]]</f>
        <v>D’Coque, Double / +lunch</v>
      </c>
      <c r="AL24" s="12" t="str">
        <f t="shared" si="8"/>
        <v>D’Coque</v>
      </c>
      <c r="AM24" s="12" t="str">
        <f t="shared" si="11"/>
        <v>Double</v>
      </c>
      <c r="AN24" s="12" t="str">
        <f t="shared" si="5"/>
        <v>+lunch</v>
      </c>
      <c r="AO24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5" spans="1:43" x14ac:dyDescent="0.2">
      <c r="A25" s="22"/>
      <c r="B25" s="15"/>
      <c r="F25" s="22"/>
      <c r="W25" s="12" t="str">
        <f>tblRoomPricesTC[[#This Row],[Hotel]]&amp;", "&amp;tblRoomPricesTC[[#This Row],[Size]]</f>
        <v>D’Coque, Double</v>
      </c>
      <c r="X25" s="12" t="str">
        <f t="shared" ref="X25:X26" si="12">X24</f>
        <v>D’Coque</v>
      </c>
      <c r="Y25" s="12" t="s">
        <v>59</v>
      </c>
      <c r="Z25" s="17">
        <v>95</v>
      </c>
      <c r="AB25" s="12" t="e">
        <f>tblMealPricesSunday[[#This Row],[Hotel]]&amp;", "&amp;tblMealPricesSunday[[#This Row],[Meal]]</f>
        <v>#REF!</v>
      </c>
      <c r="AC25" s="12" t="e">
        <f>AC24</f>
        <v>#REF!</v>
      </c>
      <c r="AD25" s="12" t="str">
        <f>"+dinner"</f>
        <v>+dinner</v>
      </c>
      <c r="AE25" s="17">
        <v>25</v>
      </c>
      <c r="AH25" s="17"/>
      <c r="AK25" s="22" t="str">
        <f>tblAccommodationCosts[[#This Row],[Hotel]]&amp;", "&amp;tblAccommodationCosts[[#This Row],[Size]]&amp;" / "&amp;tblAccommodationCosts[[#This Row],[Lodging]]</f>
        <v>D’Coque, Double / +dinner</v>
      </c>
      <c r="AL25" s="12" t="str">
        <f t="shared" si="8"/>
        <v>D’Coque</v>
      </c>
      <c r="AM25" s="12" t="str">
        <f t="shared" si="11"/>
        <v>Double</v>
      </c>
      <c r="AN25" s="12" t="str">
        <f t="shared" si="5"/>
        <v>+dinner</v>
      </c>
      <c r="AO25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6" spans="1:43" x14ac:dyDescent="0.2">
      <c r="A26" s="22"/>
      <c r="F26" s="22"/>
      <c r="U26" s="12" t="s">
        <v>80</v>
      </c>
      <c r="W26" s="12" t="str">
        <f>tblRoomPricesTC[[#This Row],[Hotel]]&amp;", "&amp;tblRoomPricesTC[[#This Row],[Size]]</f>
        <v>D’Coque, Triple</v>
      </c>
      <c r="X26" s="12" t="str">
        <f t="shared" si="12"/>
        <v>D’Coque</v>
      </c>
      <c r="Y26" s="12" t="s">
        <v>108</v>
      </c>
      <c r="Z26" s="17">
        <v>80</v>
      </c>
      <c r="AB26" s="12" t="e">
        <f>tblMealPricesSunday[[#This Row],[Hotel]]&amp;", "&amp;tblMealPricesSunday[[#This Row],[Meal]]</f>
        <v>#REF!</v>
      </c>
      <c r="AC26" s="12" t="e">
        <f>AC25</f>
        <v>#REF!</v>
      </c>
      <c r="AD26" s="20" t="str">
        <f>"full board"</f>
        <v>full board</v>
      </c>
      <c r="AE26" s="17">
        <f>AE25+AE24</f>
        <v>40</v>
      </c>
      <c r="AK26" s="22" t="str">
        <f>tblAccommodationCosts[[#This Row],[Hotel]]&amp;", "&amp;tblAccommodationCosts[[#This Row],[Size]]&amp;" / "&amp;tblAccommodationCosts[[#This Row],[Lodging]]</f>
        <v>D’Coque, Double / full board</v>
      </c>
      <c r="AL26" s="12" t="str">
        <f t="shared" si="8"/>
        <v>D’Coque</v>
      </c>
      <c r="AM26" s="12" t="str">
        <f t="shared" si="11"/>
        <v>Double</v>
      </c>
      <c r="AN26" s="12" t="str">
        <f t="shared" si="5"/>
        <v>full board</v>
      </c>
      <c r="AO26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145</v>
      </c>
    </row>
    <row r="27" spans="1:43" x14ac:dyDescent="0.2">
      <c r="A27" s="22"/>
      <c r="B27" s="15"/>
      <c r="F27" s="22"/>
      <c r="U27" s="12">
        <f>U14</f>
        <v>0</v>
      </c>
      <c r="W27" s="12" t="str">
        <f>tblRoomPricesTC[[#This Row],[Hotel]]&amp;", "&amp;tblRoomPricesTC[[#This Row],[Size]]</f>
        <v>0, Single</v>
      </c>
      <c r="X27" s="12">
        <f>$U$14</f>
        <v>0</v>
      </c>
      <c r="Y27" s="12" t="s">
        <v>56</v>
      </c>
      <c r="Z27" s="17">
        <v>135</v>
      </c>
      <c r="AB27" s="12" t="str">
        <f>tblMealPricesSunday[[#This Row],[Hotel]]&amp;", "&amp;tblMealPricesSunday[[#This Row],[Meal]]</f>
        <v>0, +lunch</v>
      </c>
      <c r="AC27" s="12">
        <f>$U$12</f>
        <v>0</v>
      </c>
      <c r="AD27" s="12" t="str">
        <f>"+lunch"</f>
        <v>+lunch</v>
      </c>
      <c r="AE27" s="17">
        <v>15</v>
      </c>
      <c r="AK27" s="22" t="str">
        <f>tblAccommodationCosts[[#This Row],[Hotel]]&amp;", "&amp;tblAccommodationCosts[[#This Row],[Size]]&amp;" / "&amp;tblAccommodationCosts[[#This Row],[Lodging]]</f>
        <v>D’Coque, Double / only breakfast</v>
      </c>
      <c r="AL27" s="12" t="str">
        <f t="shared" si="8"/>
        <v>D’Coque</v>
      </c>
      <c r="AM27" s="12" t="str">
        <f>$Y$9</f>
        <v>Double</v>
      </c>
      <c r="AN27" s="12" t="str">
        <f t="shared" si="5"/>
        <v>only breakfast</v>
      </c>
      <c r="AO27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115</v>
      </c>
    </row>
    <row r="28" spans="1:43" x14ac:dyDescent="0.2">
      <c r="A28" s="22"/>
      <c r="F28" s="22"/>
      <c r="U28" s="12" t="str">
        <f>U11</f>
        <v>D’Coque</v>
      </c>
      <c r="W28" s="12" t="str">
        <f>tblRoomPricesTC[[#This Row],[Hotel]]&amp;", "&amp;tblRoomPricesTC[[#This Row],[Size]]</f>
        <v>0, Double</v>
      </c>
      <c r="X28" s="12">
        <f t="shared" ref="X28" si="13">X27</f>
        <v>0</v>
      </c>
      <c r="Y28" s="12" t="s">
        <v>59</v>
      </c>
      <c r="Z28" s="17">
        <v>105</v>
      </c>
      <c r="AB28" s="12" t="str">
        <f>tblMealPricesSunday[[#This Row],[Hotel]]&amp;", "&amp;tblMealPricesSunday[[#This Row],[Meal]]</f>
        <v>0, +dinner</v>
      </c>
      <c r="AC28" s="12">
        <f>AC27</f>
        <v>0</v>
      </c>
      <c r="AD28" s="12" t="str">
        <f>"+dinner"</f>
        <v>+dinner</v>
      </c>
      <c r="AE28" s="17">
        <v>20</v>
      </c>
      <c r="AK28" s="22" t="str">
        <f>tblAccommodationCosts[[#This Row],[Hotel]]&amp;", "&amp;tblAccommodationCosts[[#This Row],[Size]]&amp;" / "&amp;tblAccommodationCosts[[#This Row],[Lodging]]</f>
        <v>D’Coque, Double / +lunch</v>
      </c>
      <c r="AL28" s="12" t="str">
        <f t="shared" si="8"/>
        <v>D’Coque</v>
      </c>
      <c r="AM28" s="12" t="str">
        <f t="shared" ref="AM28:AM30" si="14">$Y$9</f>
        <v>Double</v>
      </c>
      <c r="AN28" s="12" t="str">
        <f t="shared" si="5"/>
        <v>+lunch</v>
      </c>
      <c r="AO28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9" spans="1:43" x14ac:dyDescent="0.2">
      <c r="A29" s="22"/>
      <c r="F29" s="22"/>
      <c r="U29" s="12">
        <f>U15</f>
        <v>0</v>
      </c>
      <c r="W29" s="12" t="str">
        <f>tblRoomPricesTC[[#This Row],[Hotel]]&amp;", "&amp;tblRoomPricesTC[[#This Row],[Size]]</f>
        <v>0, Single</v>
      </c>
      <c r="X29" s="12">
        <f>$U$15</f>
        <v>0</v>
      </c>
      <c r="Y29" s="12" t="s">
        <v>56</v>
      </c>
      <c r="Z29" s="17">
        <v>90</v>
      </c>
      <c r="AB29" s="12" t="str">
        <f>tblMealPricesSunday[[#This Row],[Hotel]]&amp;", "&amp;tblMealPricesSunday[[#This Row],[Meal]]</f>
        <v>0, full board</v>
      </c>
      <c r="AC29" s="12">
        <f>AC28</f>
        <v>0</v>
      </c>
      <c r="AD29" s="20" t="str">
        <f>"full board"</f>
        <v>full board</v>
      </c>
      <c r="AE29" s="17">
        <f>AE28+AE27</f>
        <v>35</v>
      </c>
      <c r="AK29" s="22" t="str">
        <f>tblAccommodationCosts[[#This Row],[Hotel]]&amp;", "&amp;tblAccommodationCosts[[#This Row],[Size]]&amp;" / "&amp;tblAccommodationCosts[[#This Row],[Lodging]]</f>
        <v>D’Coque, Double / +dinner</v>
      </c>
      <c r="AL29" s="12" t="str">
        <f t="shared" si="8"/>
        <v>D’Coque</v>
      </c>
      <c r="AM29" s="12" t="str">
        <f t="shared" si="14"/>
        <v>Double</v>
      </c>
      <c r="AN29" s="12" t="str">
        <f t="shared" si="5"/>
        <v>+dinner</v>
      </c>
      <c r="AO29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30" spans="1:43" x14ac:dyDescent="0.2">
      <c r="A30" s="22"/>
      <c r="F30" s="22"/>
      <c r="W30" s="12" t="str">
        <f>tblRoomPricesTC[[#This Row],[Hotel]]&amp;", "&amp;tblRoomPricesTC[[#This Row],[Size]]</f>
        <v>0, Double</v>
      </c>
      <c r="X30" s="12">
        <f t="shared" ref="X30:X31" si="15">X29</f>
        <v>0</v>
      </c>
      <c r="Y30" s="12" t="s">
        <v>59</v>
      </c>
      <c r="Z30" s="17">
        <v>80</v>
      </c>
      <c r="AB30" s="12" t="str">
        <f>tblMealPricesSunday[[#This Row],[Hotel]]&amp;", "&amp;tblMealPricesSunday[[#This Row],[Meal]]</f>
        <v>D’Coque, +lunch</v>
      </c>
      <c r="AC30" s="12" t="str">
        <f>$U$11</f>
        <v>D’Coque</v>
      </c>
      <c r="AD30" s="12" t="str">
        <f>"+lunch"</f>
        <v>+lunch</v>
      </c>
      <c r="AE30" s="17">
        <v>15</v>
      </c>
      <c r="AK30" s="22" t="str">
        <f>tblAccommodationCosts[[#This Row],[Hotel]]&amp;", "&amp;tblAccommodationCosts[[#This Row],[Size]]&amp;" / "&amp;tblAccommodationCosts[[#This Row],[Lodging]]</f>
        <v>D’Coque, Double / full board</v>
      </c>
      <c r="AL30" s="12" t="str">
        <f t="shared" si="8"/>
        <v>D’Coque</v>
      </c>
      <c r="AM30" s="12" t="str">
        <f t="shared" si="14"/>
        <v>Double</v>
      </c>
      <c r="AN30" s="12" t="str">
        <f t="shared" si="5"/>
        <v>full board</v>
      </c>
      <c r="AO30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145</v>
      </c>
    </row>
    <row r="31" spans="1:43" x14ac:dyDescent="0.2">
      <c r="A31" s="22"/>
      <c r="F31" s="22"/>
      <c r="W31" s="12" t="str">
        <f>tblRoomPricesTC[[#This Row],[Hotel]]&amp;", "&amp;tblRoomPricesTC[[#This Row],[Size]]</f>
        <v>0, Shared</v>
      </c>
      <c r="X31" s="12">
        <f t="shared" si="15"/>
        <v>0</v>
      </c>
      <c r="Y31" s="12" t="s">
        <v>65</v>
      </c>
      <c r="Z31" s="17">
        <v>65</v>
      </c>
      <c r="AB31" s="12" t="str">
        <f>tblMealPricesSunday[[#This Row],[Hotel]]&amp;", "&amp;tblMealPricesSunday[[#This Row],[Meal]]</f>
        <v>D’Coque, +dinner</v>
      </c>
      <c r="AC31" s="12" t="str">
        <f>AC30</f>
        <v>D’Coque</v>
      </c>
      <c r="AD31" s="12" t="str">
        <f>"+dinner"</f>
        <v>+dinner</v>
      </c>
      <c r="AE31" s="17">
        <v>15</v>
      </c>
      <c r="AK31" s="22" t="str">
        <f>tblAccommodationCosts[[#This Row],[Hotel]]&amp;", "&amp;tblAccommodationCosts[[#This Row],[Size]]&amp;" / "&amp;tblAccommodationCosts[[#This Row],[Lodging]]</f>
        <v>0, Single / BB</v>
      </c>
      <c r="AL31" s="12">
        <f>$U$14</f>
        <v>0</v>
      </c>
      <c r="AM31" s="12" t="str">
        <f>$Y$3</f>
        <v>Single</v>
      </c>
      <c r="AN31" s="12" t="s">
        <v>57</v>
      </c>
      <c r="AO31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2" spans="1:43" x14ac:dyDescent="0.2">
      <c r="A32" s="22"/>
      <c r="F32" s="22"/>
      <c r="Z32" s="17"/>
      <c r="AB32" s="12" t="str">
        <f>tblMealPricesSunday[[#This Row],[Hotel]]&amp;", "&amp;tblMealPricesSunday[[#This Row],[Meal]]</f>
        <v>D’Coque, full board</v>
      </c>
      <c r="AC32" s="12" t="str">
        <f>AC31</f>
        <v>D’Coque</v>
      </c>
      <c r="AD32" s="20" t="str">
        <f>"full board"</f>
        <v>full board</v>
      </c>
      <c r="AE32" s="17">
        <f>AE31+AE30</f>
        <v>30</v>
      </c>
      <c r="AK32" s="22" t="str">
        <f>tblAccommodationCosts[[#This Row],[Hotel]]&amp;", "&amp;tblAccommodationCosts[[#This Row],[Size]]&amp;" / "&amp;tblAccommodationCosts[[#This Row],[Lodging]]</f>
        <v>0, Single / FB</v>
      </c>
      <c r="AL32" s="12">
        <f t="shared" ref="AL32:AL34" si="16">$U$14</f>
        <v>0</v>
      </c>
      <c r="AM32" s="12" t="str">
        <f t="shared" ref="AM32:AM36" si="17">$Y$3</f>
        <v>Single</v>
      </c>
      <c r="AN32" s="12" t="s">
        <v>62</v>
      </c>
      <c r="AO32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3" spans="1:41" x14ac:dyDescent="0.2">
      <c r="A33" s="22"/>
      <c r="F33" s="22"/>
      <c r="Z33" s="17"/>
      <c r="AC33" s="21"/>
      <c r="AD33" s="20"/>
      <c r="AE33" s="17"/>
      <c r="AK33" s="22" t="str">
        <f>tblAccommodationCosts[[#This Row],[Hotel]]&amp;", "&amp;tblAccommodationCosts[[#This Row],[Size]]&amp;" / "&amp;tblAccommodationCosts[[#This Row],[Lodging]]</f>
        <v>0, Double / BB</v>
      </c>
      <c r="AL33" s="12">
        <f t="shared" si="16"/>
        <v>0</v>
      </c>
      <c r="AM33" s="12" t="str">
        <f t="shared" ref="AM33:AM38" si="18">$Y$4</f>
        <v>Double</v>
      </c>
      <c r="AN33" s="12" t="s">
        <v>57</v>
      </c>
      <c r="AO33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4" spans="1:41" x14ac:dyDescent="0.2">
      <c r="A34" s="22"/>
      <c r="F34" s="22"/>
      <c r="S34" s="12" t="s">
        <v>154</v>
      </c>
      <c r="Z34" s="17"/>
      <c r="AB34" s="12" t="str">
        <f>tblMealPricesSunday[[#This Row],[Hotel]]&amp;", "&amp;tblMealPricesSunday[[#This Row],[Meal]]</f>
        <v>0, full board</v>
      </c>
      <c r="AC34" s="21">
        <f>$U$15</f>
        <v>0</v>
      </c>
      <c r="AD34" s="20" t="str">
        <f>"full board"</f>
        <v>full board</v>
      </c>
      <c r="AE34" s="17">
        <v>30</v>
      </c>
      <c r="AK34" s="22" t="str">
        <f>tblAccommodationCosts[[#This Row],[Hotel]]&amp;", "&amp;tblAccommodationCosts[[#This Row],[Size]]&amp;" / "&amp;tblAccommodationCosts[[#This Row],[Lodging]]</f>
        <v>0, Double / FB</v>
      </c>
      <c r="AL34" s="12">
        <f t="shared" si="16"/>
        <v>0</v>
      </c>
      <c r="AM34" s="12" t="str">
        <f t="shared" si="18"/>
        <v>Double</v>
      </c>
      <c r="AN34" s="12" t="s">
        <v>62</v>
      </c>
      <c r="AO34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5" spans="1:41" x14ac:dyDescent="0.2">
      <c r="A35" s="22"/>
      <c r="F35" s="22"/>
      <c r="S35" s="12" t="s">
        <v>30</v>
      </c>
      <c r="W35" s="207" t="s">
        <v>78</v>
      </c>
      <c r="X35" s="207"/>
      <c r="Y35" s="207"/>
      <c r="Z35" s="207"/>
      <c r="AB35" s="12" t="e">
        <f>tblMealPricesSunday[[#This Row],[Hotel]]&amp;", "&amp;tblMealPricesSunday[[#This Row],[Meal]]</f>
        <v>#REF!</v>
      </c>
      <c r="AC35" s="12" t="e">
        <f>#REF!</f>
        <v>#REF!</v>
      </c>
      <c r="AD35" s="20" t="str">
        <f>$S$23</f>
        <v>only breakfast</v>
      </c>
      <c r="AE35" s="17">
        <v>0</v>
      </c>
      <c r="AK35" s="22" t="str">
        <f>tblAccommodationCosts[[#This Row],[Hotel]]&amp;", "&amp;tblAccommodationCosts[[#This Row],[Size]]&amp;" / "&amp;tblAccommodationCosts[[#This Row],[Lodging]]</f>
        <v>0, Single / BB</v>
      </c>
      <c r="AL35" s="12">
        <f>$U$15</f>
        <v>0</v>
      </c>
      <c r="AM35" s="12" t="str">
        <f>$Y$3</f>
        <v>Single</v>
      </c>
      <c r="AN35" s="12" t="s">
        <v>57</v>
      </c>
      <c r="AO35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6" spans="1:41" x14ac:dyDescent="0.2">
      <c r="A36" s="22"/>
      <c r="D36" s="19"/>
      <c r="F36" s="22"/>
      <c r="S36" s="12" t="s">
        <v>32</v>
      </c>
      <c r="W36" s="12" t="s">
        <v>44</v>
      </c>
      <c r="X36" s="12" t="s">
        <v>69</v>
      </c>
      <c r="Y36" s="12" t="s">
        <v>45</v>
      </c>
      <c r="Z36" s="12" t="s">
        <v>46</v>
      </c>
      <c r="AB36" s="12" t="str">
        <f>tblMealPricesSunday[[#This Row],[Hotel]]&amp;", "&amp;tblMealPricesSunday[[#This Row],[Meal]]</f>
        <v>0, only breakfast</v>
      </c>
      <c r="AC36" s="12">
        <f>$U$12</f>
        <v>0</v>
      </c>
      <c r="AD36" s="20" t="str">
        <f>$S$23</f>
        <v>only breakfast</v>
      </c>
      <c r="AE36" s="17">
        <v>0</v>
      </c>
      <c r="AK36" s="22" t="str">
        <f>tblAccommodationCosts[[#This Row],[Hotel]]&amp;", "&amp;tblAccommodationCosts[[#This Row],[Size]]&amp;" / "&amp;tblAccommodationCosts[[#This Row],[Lodging]]</f>
        <v>0, Single / FB</v>
      </c>
      <c r="AL36" s="12">
        <f t="shared" ref="AL36:AL40" si="19">$U$15</f>
        <v>0</v>
      </c>
      <c r="AM36" s="12" t="str">
        <f t="shared" si="17"/>
        <v>Single</v>
      </c>
      <c r="AN36" s="12" t="s">
        <v>62</v>
      </c>
      <c r="AO36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7" spans="1:41" x14ac:dyDescent="0.2">
      <c r="W37" s="12" t="str">
        <f>tblRoomPricesSunday[[#This Row],[Hotel]]&amp;", "&amp;tblRoomPricesSunday[[#This Row],[Size]]</f>
        <v>D’Coque, Single</v>
      </c>
      <c r="X37" s="12" t="str">
        <f>$U$11</f>
        <v>D’Coque</v>
      </c>
      <c r="Y37" s="12" t="s">
        <v>56</v>
      </c>
      <c r="Z37" s="17">
        <v>110</v>
      </c>
      <c r="AB37" s="12" t="str">
        <f>tblMealPricesSunday[[#This Row],[Hotel]]&amp;", "&amp;tblMealPricesSunday[[#This Row],[Meal]]</f>
        <v>D’Coque, only breakfast</v>
      </c>
      <c r="AC37" s="12" t="str">
        <f>$U$11</f>
        <v>D’Coque</v>
      </c>
      <c r="AD37" s="20" t="str">
        <f>$S$23</f>
        <v>only breakfast</v>
      </c>
      <c r="AE37" s="17">
        <v>0</v>
      </c>
      <c r="AK37" s="22" t="str">
        <f>tblAccommodationCosts[[#This Row],[Hotel]]&amp;", "&amp;tblAccommodationCosts[[#This Row],[Size]]&amp;" / "&amp;tblAccommodationCosts[[#This Row],[Lodging]]</f>
        <v>0, Double / BB</v>
      </c>
      <c r="AL37" s="12">
        <f t="shared" si="19"/>
        <v>0</v>
      </c>
      <c r="AM37" s="12" t="str">
        <f t="shared" si="18"/>
        <v>Double</v>
      </c>
      <c r="AN37" s="12" t="s">
        <v>57</v>
      </c>
      <c r="AO37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8" spans="1:41" x14ac:dyDescent="0.2">
      <c r="W38" s="12" t="str">
        <f>tblRoomPricesSunday[[#This Row],[Hotel]]&amp;", "&amp;tblRoomPricesSunday[[#This Row],[Size]]</f>
        <v>D’Coque, Double</v>
      </c>
      <c r="X38" s="12" t="str">
        <f t="shared" ref="X38:X39" si="20">X37</f>
        <v>D’Coque</v>
      </c>
      <c r="Y38" s="12" t="s">
        <v>59</v>
      </c>
      <c r="Z38" s="17">
        <v>95</v>
      </c>
      <c r="AC38" s="21"/>
      <c r="AD38" s="20"/>
      <c r="AE38" s="17"/>
      <c r="AK38" s="22" t="str">
        <f>tblAccommodationCosts[[#This Row],[Hotel]]&amp;", "&amp;tblAccommodationCosts[[#This Row],[Size]]&amp;" / "&amp;tblAccommodationCosts[[#This Row],[Lodging]]</f>
        <v>0, Double / FB</v>
      </c>
      <c r="AL38" s="12">
        <f t="shared" si="19"/>
        <v>0</v>
      </c>
      <c r="AM38" s="12" t="str">
        <f t="shared" si="18"/>
        <v>Double</v>
      </c>
      <c r="AN38" s="12" t="s">
        <v>62</v>
      </c>
      <c r="AO38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9" spans="1:41" x14ac:dyDescent="0.2">
      <c r="W39" s="12" t="str">
        <f>tblRoomPricesSunday[[#This Row],[Hotel]]&amp;", "&amp;tblRoomPricesSunday[[#This Row],[Size]]</f>
        <v>D’Coque, Triple</v>
      </c>
      <c r="X39" s="12" t="str">
        <f t="shared" si="20"/>
        <v>D’Coque</v>
      </c>
      <c r="Y39" s="12" t="s">
        <v>108</v>
      </c>
      <c r="Z39" s="17">
        <v>80</v>
      </c>
      <c r="AB39" s="12" t="str">
        <f>tblMealPricesSunday[[#This Row],[Hotel]]&amp;", "&amp;tblMealPricesSunday[[#This Row],[Meal]]</f>
        <v>0, only breakfast</v>
      </c>
      <c r="AC39" s="21">
        <f>$U$15</f>
        <v>0</v>
      </c>
      <c r="AD39" s="20" t="str">
        <f>$S$23</f>
        <v>only breakfast</v>
      </c>
      <c r="AE39" s="17">
        <v>0</v>
      </c>
      <c r="AK39" s="22" t="str">
        <f>tblAccommodationCosts[[#This Row],[Hotel]]&amp;", "&amp;tblAccommodationCosts[[#This Row],[Size]]&amp;" / "&amp;tblAccommodationCosts[[#This Row],[Lodging]]</f>
        <v>0, Double / BB</v>
      </c>
      <c r="AL39" s="12">
        <f t="shared" si="19"/>
        <v>0</v>
      </c>
      <c r="AM39" s="12" t="str">
        <f>$Y$9</f>
        <v>Double</v>
      </c>
      <c r="AN39" s="12" t="s">
        <v>57</v>
      </c>
      <c r="AO39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40" spans="1:41" x14ac:dyDescent="0.2">
      <c r="W40" s="12" t="str">
        <f>tblRoomPricesSunday[[#This Row],[Hotel]]&amp;", "&amp;tblRoomPricesSunday[[#This Row],[Size]]</f>
        <v>0, Single</v>
      </c>
      <c r="X40" s="12">
        <f>$U$14</f>
        <v>0</v>
      </c>
      <c r="Y40" s="12" t="s">
        <v>56</v>
      </c>
      <c r="Z40" s="17">
        <v>135</v>
      </c>
      <c r="AK40" s="22" t="str">
        <f>tblAccommodationCosts[[#This Row],[Hotel]]&amp;", "&amp;tblAccommodationCosts[[#This Row],[Size]]&amp;" / "&amp;tblAccommodationCosts[[#This Row],[Lodging]]</f>
        <v>0, Double / FB</v>
      </c>
      <c r="AL40" s="12">
        <f t="shared" si="19"/>
        <v>0</v>
      </c>
      <c r="AM40" s="12" t="str">
        <f t="shared" ref="AM40" si="21">$Y$9</f>
        <v>Double</v>
      </c>
      <c r="AN40" s="12" t="s">
        <v>62</v>
      </c>
      <c r="AO40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41" spans="1:41" x14ac:dyDescent="0.2">
      <c r="W41" s="12" t="str">
        <f>tblRoomPricesSunday[[#This Row],[Hotel]]&amp;", "&amp;tblRoomPricesSunday[[#This Row],[Size]]</f>
        <v>0, Double</v>
      </c>
      <c r="X41" s="12">
        <f t="shared" ref="X41" si="22">X40</f>
        <v>0</v>
      </c>
      <c r="Y41" s="12" t="s">
        <v>59</v>
      </c>
      <c r="Z41" s="17">
        <v>105</v>
      </c>
      <c r="AK41" s="22"/>
      <c r="AO41" s="17"/>
    </row>
    <row r="42" spans="1:41" x14ac:dyDescent="0.2">
      <c r="W42" s="12" t="str">
        <f>tblRoomPricesSunday[[#This Row],[Hotel]]&amp;", "&amp;tblRoomPricesSunday[[#This Row],[Size]]</f>
        <v>0, Single</v>
      </c>
      <c r="X42" s="12">
        <f>$U$15</f>
        <v>0</v>
      </c>
      <c r="Y42" s="12" t="s">
        <v>56</v>
      </c>
      <c r="Z42" s="17">
        <v>90</v>
      </c>
      <c r="AB42" s="207" t="s">
        <v>93</v>
      </c>
      <c r="AC42" s="207"/>
      <c r="AD42" s="207"/>
      <c r="AE42" s="207"/>
      <c r="AK42" s="22"/>
      <c r="AO42" s="17"/>
    </row>
    <row r="43" spans="1:41" x14ac:dyDescent="0.2">
      <c r="W43" s="12" t="str">
        <f>tblRoomPricesSunday[[#This Row],[Hotel]]&amp;", "&amp;tblRoomPricesSunday[[#This Row],[Size]]</f>
        <v>0, Double</v>
      </c>
      <c r="X43" s="12">
        <f t="shared" ref="X43:X44" si="23">X42</f>
        <v>0</v>
      </c>
      <c r="Y43" s="12" t="s">
        <v>59</v>
      </c>
      <c r="Z43" s="17">
        <v>80</v>
      </c>
      <c r="AB43" s="12" t="s">
        <v>44</v>
      </c>
      <c r="AC43" s="12" t="s">
        <v>69</v>
      </c>
      <c r="AD43" s="12" t="s">
        <v>73</v>
      </c>
      <c r="AE43" s="12" t="s">
        <v>46</v>
      </c>
      <c r="AK43" s="22"/>
      <c r="AO43" s="17"/>
    </row>
    <row r="44" spans="1:41" x14ac:dyDescent="0.2">
      <c r="W44" s="12" t="str">
        <f>tblRoomPricesSunday[[#This Row],[Hotel]]&amp;", "&amp;tblRoomPricesSunday[[#This Row],[Size]]</f>
        <v>0, Shared</v>
      </c>
      <c r="X44" s="12">
        <f t="shared" si="23"/>
        <v>0</v>
      </c>
      <c r="Y44" s="12" t="s">
        <v>65</v>
      </c>
      <c r="Z44" s="17">
        <v>65</v>
      </c>
      <c r="AB44" s="12" t="str">
        <f>tblMealPricesEJUTC[[#This Row],[Hotel]]&amp;", "&amp;tblMealPricesEJUTC[[#This Row],[Meal]]</f>
        <v>0, full board</v>
      </c>
      <c r="AC44" s="12">
        <f>U27</f>
        <v>0</v>
      </c>
      <c r="AD44" s="12" t="s">
        <v>83</v>
      </c>
      <c r="AE44" s="17">
        <v>40</v>
      </c>
    </row>
    <row r="45" spans="1:41" x14ac:dyDescent="0.2">
      <c r="W45" s="12" t="e">
        <f>tblRoomPricesSunday[[#This Row],[Hotel]]&amp;", "&amp;tblRoomPricesSunday[[#This Row],[Size]]</f>
        <v>#REF!</v>
      </c>
      <c r="X45" s="12" t="e">
        <f>#REF!</f>
        <v>#REF!</v>
      </c>
      <c r="Y45" s="12" t="s">
        <v>56</v>
      </c>
      <c r="Z45" s="17">
        <v>165</v>
      </c>
      <c r="AB45" s="12" t="str">
        <f>tblMealPricesEJUTC[[#This Row],[Hotel]]&amp;", "&amp;tblMealPricesEJUTC[[#This Row],[Meal]]</f>
        <v>D’Coque, full board</v>
      </c>
      <c r="AC45" s="12" t="str">
        <f t="shared" ref="AC45:AC46" si="24">U28</f>
        <v>D’Coque</v>
      </c>
      <c r="AD45" s="12" t="s">
        <v>83</v>
      </c>
      <c r="AE45" s="17">
        <v>40</v>
      </c>
    </row>
    <row r="46" spans="1:41" x14ac:dyDescent="0.2">
      <c r="W46" s="12" t="e">
        <f>tblRoomPricesSunday[[#This Row],[Hotel]]&amp;", "&amp;tblRoomPricesSunday[[#This Row],[Size]]</f>
        <v>#REF!</v>
      </c>
      <c r="X46" s="12" t="e">
        <f>X45</f>
        <v>#REF!</v>
      </c>
      <c r="Y46" s="12" t="s">
        <v>59</v>
      </c>
      <c r="Z46" s="17">
        <v>115</v>
      </c>
      <c r="AB46" s="12" t="str">
        <f>tblMealPricesEJUTC[[#This Row],[Hotel]]&amp;", "&amp;tblMealPricesEJUTC[[#This Row],[Meal]]</f>
        <v>0, full board</v>
      </c>
      <c r="AC46" s="12">
        <f t="shared" si="24"/>
        <v>0</v>
      </c>
      <c r="AD46" s="12" t="s">
        <v>83</v>
      </c>
      <c r="AE46" s="17">
        <v>30</v>
      </c>
    </row>
    <row r="47" spans="1:41" x14ac:dyDescent="0.2">
      <c r="W47" s="12" t="str">
        <f>tblRoomPricesSunday[[#This Row],[Hotel]]&amp;", "&amp;tblRoomPricesSunday[[#This Row],[Size]]</f>
        <v>0, Single</v>
      </c>
      <c r="X47" s="12">
        <f>$U$12</f>
        <v>0</v>
      </c>
      <c r="Y47" s="12" t="str">
        <f>Y45</f>
        <v>Single</v>
      </c>
      <c r="Z47" s="17">
        <v>140</v>
      </c>
      <c r="AB47" s="12" t="str">
        <f>tblMealPricesEJUTC[[#This Row],[Hotel]]&amp;", "&amp;tblMealPricesEJUTC[[#This Row],[Meal]]</f>
        <v>0, only breakfast</v>
      </c>
      <c r="AC47" s="12">
        <f>AC44</f>
        <v>0</v>
      </c>
      <c r="AD47" s="20" t="str">
        <f>$S$23</f>
        <v>only breakfast</v>
      </c>
      <c r="AE47" s="17">
        <v>0</v>
      </c>
    </row>
    <row r="48" spans="1:41" x14ac:dyDescent="0.2">
      <c r="W48" s="12" t="str">
        <f>tblRoomPricesSunday[[#This Row],[Hotel]]&amp;", "&amp;tblRoomPricesSunday[[#This Row],[Size]]</f>
        <v>0, Double</v>
      </c>
      <c r="X48" s="12">
        <f>X47</f>
        <v>0</v>
      </c>
      <c r="Y48" s="12" t="str">
        <f>Y46</f>
        <v>Double</v>
      </c>
      <c r="Z48" s="17">
        <v>105</v>
      </c>
      <c r="AB48" s="12" t="str">
        <f>tblMealPricesEJUTC[[#This Row],[Hotel]]&amp;", "&amp;tblMealPricesEJUTC[[#This Row],[Meal]]</f>
        <v>D’Coque, only breakfast</v>
      </c>
      <c r="AC48" s="12" t="str">
        <f t="shared" ref="AC48:AC49" si="25">AC45</f>
        <v>D’Coque</v>
      </c>
      <c r="AD48" s="20" t="str">
        <f>$S$23</f>
        <v>only breakfast</v>
      </c>
      <c r="AE48" s="17">
        <v>0</v>
      </c>
    </row>
    <row r="49" spans="28:31" x14ac:dyDescent="0.2">
      <c r="AB49" s="12" t="str">
        <f>tblMealPricesEJUTC[[#This Row],[Hotel]]&amp;", "&amp;tblMealPricesEJUTC[[#This Row],[Meal]]</f>
        <v>0, only breakfast</v>
      </c>
      <c r="AC49" s="12">
        <f t="shared" si="25"/>
        <v>0</v>
      </c>
      <c r="AD49" s="20" t="str">
        <f>$S$23</f>
        <v>only breakfast</v>
      </c>
      <c r="AE49" s="17">
        <v>0</v>
      </c>
    </row>
    <row r="50" spans="28:31" x14ac:dyDescent="0.2">
      <c r="AE50" s="17"/>
    </row>
    <row r="51" spans="28:31" x14ac:dyDescent="0.2">
      <c r="AE51" s="17"/>
    </row>
    <row r="52" spans="28:31" x14ac:dyDescent="0.2">
      <c r="AD52" s="20"/>
      <c r="AE52" s="17"/>
    </row>
    <row r="53" spans="28:31" x14ac:dyDescent="0.2">
      <c r="AD53" s="20"/>
      <c r="AE53" s="17"/>
    </row>
    <row r="54" spans="28:31" x14ac:dyDescent="0.2">
      <c r="AD54" s="20"/>
      <c r="AE54" s="17"/>
    </row>
    <row r="55" spans="28:31" x14ac:dyDescent="0.2">
      <c r="AD55" s="20"/>
      <c r="AE55" s="17"/>
    </row>
  </sheetData>
  <sheetProtection selectLockedCells="1"/>
  <mergeCells count="12">
    <mergeCell ref="W35:Z35"/>
    <mergeCell ref="A1:G1"/>
    <mergeCell ref="W1:Z1"/>
    <mergeCell ref="AB1:AE1"/>
    <mergeCell ref="AG1:AI1"/>
    <mergeCell ref="AB22:AE22"/>
    <mergeCell ref="W22:Z22"/>
    <mergeCell ref="AK1:AO1"/>
    <mergeCell ref="AW1:AZ1"/>
    <mergeCell ref="AW2:AZ2"/>
    <mergeCell ref="AV3:AV4"/>
    <mergeCell ref="AB42:AE42"/>
  </mergeCells>
  <phoneticPr fontId="13" type="noConversion"/>
  <pageMargins left="0.7" right="0.7" top="0.75" bottom="0.75" header="0.3" footer="0.3"/>
  <pageSetup paperSize="9" orientation="portrait" r:id="rId1"/>
  <tableParts count="2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58</vt:i4>
      </vt:variant>
    </vt:vector>
  </HeadingPairs>
  <TitlesOfParts>
    <vt:vector size="63" baseType="lpstr">
      <vt:lpstr>Data entry form</vt:lpstr>
      <vt:lpstr>Check your data</vt:lpstr>
      <vt:lpstr>Proforma Invoice</vt:lpstr>
      <vt:lpstr>Invoice</vt:lpstr>
      <vt:lpstr>Parameters</vt:lpstr>
      <vt:lpstr>Parameters!AccreditationFee</vt:lpstr>
      <vt:lpstr>AJU</vt:lpstr>
      <vt:lpstr>Alvisse</vt:lpstr>
      <vt:lpstr>Coque</vt:lpstr>
      <vt:lpstr>Parameters!EJU</vt:lpstr>
      <vt:lpstr>Parameters!EJUEntryFee</vt:lpstr>
      <vt:lpstr>Error1</vt:lpstr>
      <vt:lpstr>Federation</vt:lpstr>
      <vt:lpstr>Hilton</vt:lpstr>
      <vt:lpstr>Hostel</vt:lpstr>
      <vt:lpstr>HotelEJO</vt:lpstr>
      <vt:lpstr>HotelTC</vt:lpstr>
      <vt:lpstr>Ibis</vt:lpstr>
      <vt:lpstr>JUA</vt:lpstr>
      <vt:lpstr>Invoice!lstArrivalDate</vt:lpstr>
      <vt:lpstr>lstArrivalDate</vt:lpstr>
      <vt:lpstr>Invoice!lstContinent</vt:lpstr>
      <vt:lpstr>lstContinent</vt:lpstr>
      <vt:lpstr>Invoice!lstDepartureDate</vt:lpstr>
      <vt:lpstr>lstDepartureDate</vt:lpstr>
      <vt:lpstr>Invoice!lstHotels</vt:lpstr>
      <vt:lpstr>lstHotels</vt:lpstr>
      <vt:lpstr>Invoice!lstHotelsEJO</vt:lpstr>
      <vt:lpstr>lstHotelsEJO</vt:lpstr>
      <vt:lpstr>Invoice!lstHotelsTC</vt:lpstr>
      <vt:lpstr>lstHotelsTC</vt:lpstr>
      <vt:lpstr>Invoice!lstLocomotionType</vt:lpstr>
      <vt:lpstr>lstLocomotionType</vt:lpstr>
      <vt:lpstr>Invoice!lstMealTypesEJO</vt:lpstr>
      <vt:lpstr>lstMealTypesEJO</vt:lpstr>
      <vt:lpstr>Invoice!lstMealTypesTC</vt:lpstr>
      <vt:lpstr>lstMealTypesTC</vt:lpstr>
      <vt:lpstr>Invoice!lstRoomAndLodging</vt:lpstr>
      <vt:lpstr>lstRoomAndLodging</vt:lpstr>
      <vt:lpstr>Invoice!lstRoomPricesEJO</vt:lpstr>
      <vt:lpstr>lstRoomPricesEJO</vt:lpstr>
      <vt:lpstr>Invoice!lstRoomPricesSunda</vt:lpstr>
      <vt:lpstr>lstRoomPricesSunda</vt:lpstr>
      <vt:lpstr>Invoice!lstRoomPricesTC</vt:lpstr>
      <vt:lpstr>lstRoomPricesTC</vt:lpstr>
      <vt:lpstr>Invoice!lstRoomTypes</vt:lpstr>
      <vt:lpstr>lstRoomTypes</vt:lpstr>
      <vt:lpstr>Invoice!lstTestDate</vt:lpstr>
      <vt:lpstr>lstTestDate</vt:lpstr>
      <vt:lpstr>Invoice!lstTravelLocation</vt:lpstr>
      <vt:lpstr>lstTravelLocation</vt:lpstr>
      <vt:lpstr>Invoice!lstWeightOrFunctionCategory</vt:lpstr>
      <vt:lpstr>lstWeightOrFunctionCategory</vt:lpstr>
      <vt:lpstr>lstYesNo</vt:lpstr>
      <vt:lpstr>OJU</vt:lpstr>
      <vt:lpstr>Other</vt:lpstr>
      <vt:lpstr>PJC</vt:lpstr>
      <vt:lpstr>SelectedCategory</vt:lpstr>
      <vt:lpstr>tblData</vt:lpstr>
      <vt:lpstr>TCAccredFee</vt:lpstr>
      <vt:lpstr>TCAccreditationFee</vt:lpstr>
      <vt:lpstr>Parameters!TCFeeEJU</vt:lpstr>
      <vt:lpstr>Parameters!TCFeeNonEJU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 Form EJO LUX 2019</dc:title>
  <dc:subject>EJOpen LUX 2019</dc:subject>
  <dc:creator>Denis Barboni</dc:creator>
  <cp:lastModifiedBy>Microsoft Office User</cp:lastModifiedBy>
  <cp:lastPrinted>2019-07-11T09:16:04Z</cp:lastPrinted>
  <dcterms:created xsi:type="dcterms:W3CDTF">2015-06-05T18:19:34Z</dcterms:created>
  <dcterms:modified xsi:type="dcterms:W3CDTF">2021-07-23T12:28:47Z</dcterms:modified>
</cp:coreProperties>
</file>